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ESBSFP01\RedirectedFolders\richardc\Desktop\"/>
    </mc:Choice>
  </mc:AlternateContent>
  <xr:revisionPtr revIDLastSave="0" documentId="8_{579D74BA-1EFF-4A7E-B13B-419211B00454}" xr6:coauthVersionLast="47" xr6:coauthVersionMax="47" xr10:uidLastSave="{00000000-0000-0000-0000-000000000000}"/>
  <workbookProtection workbookAlgorithmName="SHA-512" workbookHashValue="9KR4Cwql5FMFGhkZSjjASwB0gTumyqbs/8Xk4c+ihd4YtUFuVuRKP8Aut2vtKRJIJCiI5IJM5+tqt5fa8WAmPQ==" workbookSaltValue="OqmQpnB0NxMh7oOY8/Vgjg==" workbookSpinCount="100000" lockStructure="1"/>
  <bookViews>
    <workbookView xWindow="28680" yWindow="-120" windowWidth="29040" windowHeight="15720" xr2:uid="{00000000-000D-0000-FFFF-FFFF00000000}"/>
  </bookViews>
  <sheets>
    <sheet name="Affordability Checker" sheetId="4" r:id="rId1"/>
    <sheet name="AID" sheetId="1" state="hidden" r:id="rId2"/>
    <sheet name="LTI" sheetId="7" state="hidden" r:id="rId3"/>
    <sheet name="Repayment Calculator" sheetId="2" state="hidden" r:id="rId4"/>
    <sheet name="Affordability minimums" sheetId="3" state="hidden" r:id="rId5"/>
    <sheet name="Statics" sheetId="5" state="hidden" r:id="rId6"/>
    <sheet name="Mortgage products" sheetId="6" state="hidden" r:id="rId7"/>
  </sheets>
  <definedNames>
    <definedName name="_xlnm.Print_Area" localSheetId="0">'Affordability Checker'!$A$1:$J$59</definedName>
    <definedName name="_xlnm.Print_Area" localSheetId="4">'Affordability minimums'!$A$1:$L$40</definedName>
    <definedName name="_xlnm.Print_Area" localSheetId="1">AID!$B$2:$I$116</definedName>
    <definedName name="_xlnm.Print_Area" localSheetId="6">'Mortgage products'!$A$1:$E$15</definedName>
    <definedName name="_xlnm.Print_Area" localSheetId="3">'Repayment Calculator'!$A$1:$K$47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6" l="1"/>
  <c r="C14" i="6"/>
  <c r="C8" i="6"/>
  <c r="C11" i="6"/>
  <c r="C7" i="6"/>
  <c r="C13" i="6"/>
  <c r="D23" i="4"/>
  <c r="J19" i="5"/>
  <c r="I44" i="2" l="1"/>
  <c r="H44" i="2"/>
  <c r="G44" i="2"/>
  <c r="F44" i="2"/>
  <c r="E44" i="2"/>
  <c r="I38" i="2"/>
  <c r="H38" i="2"/>
  <c r="G38" i="2"/>
  <c r="F38" i="2"/>
  <c r="E38" i="2"/>
  <c r="I37" i="2"/>
  <c r="H37" i="2"/>
  <c r="G37" i="2"/>
  <c r="F37" i="2"/>
  <c r="E37" i="2"/>
  <c r="I28" i="2"/>
  <c r="H28" i="2"/>
  <c r="G28" i="2"/>
  <c r="F28" i="2"/>
  <c r="E28" i="2"/>
  <c r="I23" i="2"/>
  <c r="H23" i="2"/>
  <c r="G23" i="2"/>
  <c r="F23" i="2"/>
  <c r="E23" i="2"/>
  <c r="I22" i="2"/>
  <c r="H22" i="2"/>
  <c r="G22" i="2"/>
  <c r="F22" i="2"/>
  <c r="E22" i="2"/>
  <c r="I14" i="2"/>
  <c r="H14" i="2"/>
  <c r="G14" i="2"/>
  <c r="F14" i="2"/>
  <c r="E14" i="2"/>
  <c r="I9" i="2"/>
  <c r="I8" i="2"/>
  <c r="H8" i="2"/>
  <c r="G8" i="2"/>
  <c r="F8" i="2"/>
  <c r="E8" i="2"/>
  <c r="I47" i="2" l="1"/>
  <c r="F47" i="2"/>
  <c r="E47" i="2"/>
  <c r="G47" i="2"/>
  <c r="H47" i="2"/>
  <c r="G67" i="4" l="1"/>
  <c r="G52" i="1" l="1"/>
  <c r="G50" i="1"/>
  <c r="G48" i="1"/>
  <c r="G41" i="1"/>
  <c r="G21" i="1"/>
  <c r="G19" i="1"/>
  <c r="G17" i="1"/>
  <c r="G15" i="1"/>
  <c r="G13" i="1"/>
  <c r="G11" i="1"/>
  <c r="C15" i="6" l="1"/>
  <c r="D21" i="1" l="1"/>
  <c r="D19" i="1"/>
  <c r="D17" i="1"/>
  <c r="D15" i="1"/>
  <c r="D13" i="1"/>
  <c r="D11" i="1"/>
  <c r="D52" i="1"/>
  <c r="D50" i="1"/>
  <c r="D48" i="1"/>
  <c r="D41" i="1"/>
  <c r="D20" i="2"/>
  <c r="D6" i="2"/>
  <c r="C5" i="6" l="1"/>
  <c r="C10" i="6"/>
  <c r="C9" i="6"/>
  <c r="C6" i="6"/>
  <c r="G68" i="4" l="1"/>
  <c r="D15" i="4" l="1"/>
  <c r="D60" i="4" s="1"/>
  <c r="G66" i="4" l="1"/>
  <c r="G65" i="4"/>
  <c r="G64" i="4"/>
  <c r="G63" i="4"/>
  <c r="D63" i="4" l="1"/>
  <c r="T3" i="2" l="1"/>
  <c r="D3" i="2" s="1"/>
  <c r="D25" i="2"/>
  <c r="D17" i="2"/>
  <c r="J12" i="5" l="1"/>
  <c r="J14" i="5" s="1"/>
  <c r="J7" i="5" s="1"/>
  <c r="F43" i="2" l="1"/>
  <c r="F45" i="2" s="1"/>
  <c r="E36" i="2"/>
  <c r="G27" i="2"/>
  <c r="G29" i="2" s="1"/>
  <c r="F21" i="2"/>
  <c r="H13" i="2"/>
  <c r="H15" i="2" s="1"/>
  <c r="I7" i="2"/>
  <c r="G7" i="2"/>
  <c r="G9" i="2" s="1"/>
  <c r="H36" i="2"/>
  <c r="F7" i="2"/>
  <c r="F9" i="2" s="1"/>
  <c r="G36" i="2"/>
  <c r="H27" i="2"/>
  <c r="H29" i="2" s="1"/>
  <c r="I13" i="2"/>
  <c r="I15" i="2" s="1"/>
  <c r="E43" i="2"/>
  <c r="E45" i="2" s="1"/>
  <c r="F27" i="2"/>
  <c r="F29" i="2" s="1"/>
  <c r="E21" i="2"/>
  <c r="G13" i="2"/>
  <c r="G15" i="2" s="1"/>
  <c r="H7" i="2"/>
  <c r="H9" i="2" s="1"/>
  <c r="I36" i="2"/>
  <c r="I43" i="2"/>
  <c r="I45" i="2" s="1"/>
  <c r="E27" i="2"/>
  <c r="E29" i="2" s="1"/>
  <c r="F13" i="2"/>
  <c r="F15" i="2" s="1"/>
  <c r="E13" i="2"/>
  <c r="E15" i="2" s="1"/>
  <c r="H43" i="2"/>
  <c r="H45" i="2" s="1"/>
  <c r="I27" i="2"/>
  <c r="I29" i="2" s="1"/>
  <c r="G43" i="2"/>
  <c r="G45" i="2" s="1"/>
  <c r="I21" i="2"/>
  <c r="E7" i="2"/>
  <c r="E9" i="2" s="1"/>
  <c r="G21" i="2"/>
  <c r="H21" i="2"/>
  <c r="F36" i="2"/>
  <c r="D22" i="4"/>
  <c r="I46" i="2" l="1"/>
  <c r="E46" i="2"/>
  <c r="G46" i="2"/>
  <c r="H46" i="2"/>
  <c r="F46" i="2"/>
  <c r="D26" i="2"/>
  <c r="D27" i="2" s="1"/>
  <c r="D18" i="2"/>
  <c r="D21" i="2" s="1"/>
  <c r="J25" i="2"/>
  <c r="D19" i="2"/>
  <c r="D62" i="4" l="1"/>
  <c r="D22" i="2"/>
  <c r="D29" i="2"/>
  <c r="J29" i="2" s="1"/>
  <c r="D28" i="2"/>
  <c r="J28" i="2" s="1"/>
  <c r="C3" i="7"/>
  <c r="D42" i="2" l="1"/>
  <c r="D41" i="2"/>
  <c r="D43" i="2" s="1"/>
  <c r="D40" i="2"/>
  <c r="J40" i="2" s="1"/>
  <c r="D11" i="2"/>
  <c r="D5" i="2"/>
  <c r="J3" i="2"/>
  <c r="D35" i="2"/>
  <c r="J11" i="2" l="1"/>
  <c r="D45" i="2"/>
  <c r="J45" i="2" s="1"/>
  <c r="D44" i="2"/>
  <c r="J44" i="2" s="1"/>
  <c r="D34" i="2"/>
  <c r="D33" i="2"/>
  <c r="D32" i="2"/>
  <c r="D36" i="2" s="1"/>
  <c r="D31" i="2"/>
  <c r="J31" i="2" l="1"/>
  <c r="D37" i="2"/>
  <c r="J37" i="2" s="1"/>
  <c r="D38" i="2"/>
  <c r="J38" i="2" l="1"/>
  <c r="D21" i="4" l="1"/>
  <c r="B5" i="1"/>
  <c r="D12" i="2" l="1"/>
  <c r="D4" i="2"/>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O2" i="3"/>
  <c r="O3" i="3" s="1"/>
  <c r="F78" i="1" s="1"/>
  <c r="D7" i="2" l="1"/>
  <c r="D9" i="2" s="1"/>
  <c r="D8" i="2"/>
  <c r="J8" i="2" s="1"/>
  <c r="D13" i="2"/>
  <c r="G78" i="1"/>
  <c r="D78" i="1"/>
  <c r="D14" i="2"/>
  <c r="F63" i="1"/>
  <c r="F65" i="1"/>
  <c r="F85" i="1"/>
  <c r="F59" i="1"/>
  <c r="F67" i="1"/>
  <c r="F87" i="1"/>
  <c r="F61" i="1"/>
  <c r="F69" i="1"/>
  <c r="F81" i="1"/>
  <c r="F89" i="1"/>
  <c r="F83" i="1"/>
  <c r="F71" i="1"/>
  <c r="F73" i="1"/>
  <c r="D15" i="2" l="1"/>
  <c r="J15" i="2" s="1"/>
  <c r="J14" i="2"/>
  <c r="D47" i="2"/>
  <c r="J47" i="2" s="1"/>
  <c r="G63" i="1"/>
  <c r="D63" i="1"/>
  <c r="G69" i="1"/>
  <c r="D69" i="1"/>
  <c r="G61" i="1"/>
  <c r="D61" i="1"/>
  <c r="G87" i="1"/>
  <c r="D87" i="1"/>
  <c r="G65" i="1"/>
  <c r="D65" i="1"/>
  <c r="G67" i="1"/>
  <c r="D67" i="1"/>
  <c r="G81" i="1"/>
  <c r="D81" i="1"/>
  <c r="G71" i="1"/>
  <c r="D71" i="1"/>
  <c r="G59" i="1"/>
  <c r="D59" i="1"/>
  <c r="G89" i="1"/>
  <c r="D89" i="1"/>
  <c r="G73" i="1"/>
  <c r="D73" i="1"/>
  <c r="G83" i="1"/>
  <c r="D83" i="1"/>
  <c r="G85" i="1"/>
  <c r="D85" i="1"/>
  <c r="J9" i="2"/>
  <c r="D28" i="1"/>
  <c r="D61" i="4" s="1"/>
  <c r="H75" i="1" l="1"/>
  <c r="H91" i="1"/>
  <c r="J17" i="2" l="1"/>
  <c r="J22" i="2"/>
  <c r="D23" i="2"/>
  <c r="D46" i="2" l="1"/>
  <c r="J46" i="2" s="1"/>
  <c r="D46" i="1" s="1"/>
  <c r="H54" i="1" s="1"/>
  <c r="C4" i="7"/>
  <c r="C5" i="7" s="1"/>
  <c r="J23" i="2"/>
  <c r="D99" i="1" l="1"/>
  <c r="D97" i="1"/>
  <c r="D115" i="1" l="1"/>
  <c r="D105" i="1"/>
  <c r="D112" i="1"/>
  <c r="D108" i="1"/>
  <c r="D44" i="4" l="1"/>
  <c r="D43" i="4"/>
  <c r="D4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Wigfull</author>
  </authors>
  <commentList>
    <comment ref="D20" authorId="0" shapeId="0" xr:uid="{00000000-0006-0000-0000-000001000000}">
      <text>
        <r>
          <rPr>
            <sz val="9"/>
            <color indexed="81"/>
            <rFont val="Tahoma"/>
            <family val="2"/>
          </rPr>
          <t xml:space="preserve">Needs to be completed for result to be displayed correctly
</t>
        </r>
      </text>
    </comment>
    <comment ref="F20" authorId="0" shapeId="0" xr:uid="{00000000-0006-0000-0000-000002000000}">
      <text>
        <r>
          <rPr>
            <sz val="9"/>
            <color indexed="81"/>
            <rFont val="Tahoma"/>
            <family val="2"/>
          </rPr>
          <t xml:space="preserve">Note credit card payments do not need to be entered if balance is cleared monthly
</t>
        </r>
      </text>
    </comment>
    <comment ref="F22" authorId="0" shapeId="0" xr:uid="{00000000-0006-0000-0000-000003000000}">
      <text>
        <r>
          <rPr>
            <sz val="9"/>
            <color indexed="81"/>
            <rFont val="Tahoma"/>
            <family val="2"/>
          </rPr>
          <t>Note loan payments with less than 6 months to run do not need to be entered</t>
        </r>
      </text>
    </comment>
    <comment ref="C28" authorId="0" shapeId="0" xr:uid="{00000000-0006-0000-0000-000004000000}">
      <text>
        <r>
          <rPr>
            <sz val="9"/>
            <color indexed="81"/>
            <rFont val="Tahoma"/>
            <family val="2"/>
          </rPr>
          <t>Note 40 years is the maximum term hence if 40 years has been entered no months should be entered</t>
        </r>
        <r>
          <rPr>
            <b/>
            <sz val="9"/>
            <color indexed="81"/>
            <rFont val="Tahoma"/>
            <family val="2"/>
          </rPr>
          <t xml:space="preserve">
</t>
        </r>
        <r>
          <rPr>
            <sz val="9"/>
            <color indexed="81"/>
            <rFont val="Tahoma"/>
            <family val="2"/>
          </rPr>
          <t xml:space="preserve">
</t>
        </r>
      </text>
    </comment>
    <comment ref="C36" authorId="0" shapeId="0" xr:uid="{00000000-0006-0000-0000-000005000000}">
      <text>
        <r>
          <rPr>
            <sz val="9"/>
            <color indexed="81"/>
            <rFont val="Tahoma"/>
            <family val="2"/>
          </rPr>
          <t>Note 40 years is the maximum term hence if 40 years has been entered no months should be entered</t>
        </r>
      </text>
    </comment>
    <comment ref="C43" authorId="0" shapeId="0" xr:uid="{00000000-0006-0000-0000-000006000000}">
      <text>
        <r>
          <rPr>
            <sz val="9"/>
            <color indexed="81"/>
            <rFont val="Tahoma"/>
            <family val="2"/>
          </rPr>
          <t xml:space="preserve">Note will be zero if either annual or monthly income or property value hasn't been entered
</t>
        </r>
      </text>
    </comment>
  </commentList>
</comments>
</file>

<file path=xl/sharedStrings.xml><?xml version="1.0" encoding="utf-8"?>
<sst xmlns="http://schemas.openxmlformats.org/spreadsheetml/2006/main" count="352" uniqueCount="262">
  <si>
    <t>MONTHLY INCOME</t>
  </si>
  <si>
    <t>Benefits (£)</t>
  </si>
  <si>
    <t>Pension income (£)</t>
  </si>
  <si>
    <t>Other income (£)</t>
  </si>
  <si>
    <t>Please specify type below</t>
  </si>
  <si>
    <t>……………………………………………………….</t>
  </si>
  <si>
    <t>(*) - for self employed applicants and those who own 25% or more of their own business, please insert the average monthly income taken from the business.</t>
  </si>
  <si>
    <t>Dividends</t>
  </si>
  <si>
    <t xml:space="preserve">MONTHLY EXPENDITURE </t>
  </si>
  <si>
    <t>in respect of this application)</t>
  </si>
  <si>
    <t>Mortgage payment in respect of this application (£)</t>
  </si>
  <si>
    <t>Maintenance payments (£)</t>
  </si>
  <si>
    <t>Water (£)</t>
  </si>
  <si>
    <t>Child care costs (include where income from applicant is</t>
  </si>
  <si>
    <t>dependent on this arrangement) (£)</t>
  </si>
  <si>
    <t>Rental income (£)</t>
  </si>
  <si>
    <t>(Please do not insert the mortgage payment due</t>
  </si>
  <si>
    <t>Credit card payments - insert 3% of outstanding balance(s)(£)</t>
  </si>
  <si>
    <t>Maintenance income (£)</t>
  </si>
  <si>
    <t>Basic Essential Items</t>
  </si>
  <si>
    <t>Commitments</t>
  </si>
  <si>
    <t>Groceries including Toiletries &amp; Cleaning Products(£)</t>
  </si>
  <si>
    <t>Telephone (£)</t>
  </si>
  <si>
    <t>Ground Rent &amp; Service Charges for Leasehold Properties (£)</t>
  </si>
  <si>
    <t>Essential travel costs - Fuel, Bus fares &amp; Train fares (£)</t>
  </si>
  <si>
    <t>Motoring Costs - Insurance, MOT, Tax, Servicing &amp; repairs (£)</t>
  </si>
  <si>
    <t>Basic Living Items</t>
  </si>
  <si>
    <t>TV (£)</t>
  </si>
  <si>
    <t>Clothing (£)</t>
  </si>
  <si>
    <t>Recreational Spending e.g. Gym &amp; Entertainment</t>
  </si>
  <si>
    <t>Total Commitments</t>
  </si>
  <si>
    <t>TOTAL INCOME</t>
  </si>
  <si>
    <t>Total of Essential Items</t>
  </si>
  <si>
    <t>Total of Basic Living Items</t>
  </si>
  <si>
    <t>Basic Essentials + Commitments Total =</t>
  </si>
  <si>
    <t>Income - (Basic Essential Exp + Commitments) =</t>
  </si>
  <si>
    <t>TOTAL EXPENDITURE (C+BE+BL)=</t>
  </si>
  <si>
    <t>TOTAL INCOME - TOTAL EXPENDITURE =</t>
  </si>
  <si>
    <t>% Excess Income over BE +C</t>
  </si>
  <si>
    <t>Please insert the amount of income you receive after tax and national insurance (*) and state if estimated or actual.  For applications where more than one person is applying please aggregate figures.</t>
  </si>
  <si>
    <t>Please insert the amount you spend each month on the items shown below. In all cases please insert ALL household expenditure even where the application is in one name and someone else may assist in paying the commitment.  Where you make no payment, please insert 0.00</t>
  </si>
  <si>
    <t>Council Tax (£)</t>
  </si>
  <si>
    <t>Household Appliances &amp; Repairs (£)</t>
  </si>
  <si>
    <t>Verified</t>
  </si>
  <si>
    <t>Repayment</t>
  </si>
  <si>
    <t>Amount</t>
  </si>
  <si>
    <t>Rate/100</t>
  </si>
  <si>
    <t>Term Years</t>
  </si>
  <si>
    <t>Term Months</t>
  </si>
  <si>
    <t>No of Periods in Cap</t>
  </si>
  <si>
    <t>No Caps in Year</t>
  </si>
  <si>
    <t>Interest Only</t>
  </si>
  <si>
    <t>AFFORDABILITY INFORMATION DOCUMENT</t>
  </si>
  <si>
    <t xml:space="preserve">Buildings Insurance (£) </t>
  </si>
  <si>
    <r>
      <rPr>
        <b/>
        <u/>
        <sz val="12"/>
        <color indexed="8"/>
        <rFont val="Calibri"/>
        <family val="2"/>
      </rPr>
      <t>Notes for completing affordability calculator</t>
    </r>
    <r>
      <rPr>
        <b/>
        <sz val="12"/>
        <color indexed="8"/>
        <rFont val="Calibri"/>
        <family val="2"/>
      </rPr>
      <t xml:space="preserve">
Commitments
Other mortgages –</t>
    </r>
    <r>
      <rPr>
        <sz val="12"/>
        <color indexed="8"/>
        <rFont val="Calibri"/>
        <family val="2"/>
      </rPr>
      <t xml:space="preserve"> only include mortgages that are to remain in place after completion of this mortgage.</t>
    </r>
    <r>
      <rPr>
        <b/>
        <sz val="12"/>
        <color indexed="8"/>
        <rFont val="Calibri"/>
        <family val="2"/>
      </rPr>
      <t xml:space="preserve">
Credit cards – </t>
    </r>
    <r>
      <rPr>
        <sz val="12"/>
        <color indexed="8"/>
        <rFont val="Calibri"/>
        <family val="2"/>
      </rPr>
      <t>only include 3% of the outstanding balances if the credit cards are not being cleared upon completion of this mortgage. Do not include credit cards where the balance is cleared in full each month.</t>
    </r>
    <r>
      <rPr>
        <b/>
        <sz val="12"/>
        <color indexed="8"/>
        <rFont val="Calibri"/>
        <family val="2"/>
      </rPr>
      <t xml:space="preserve">
Please note that if the figures provided are estimated, the Society may require evidence to verify the figures. If you are moving house, please provide estimates based on the expected monthly expenditure in your new property.
If certain areas are left blank a default figure may be applied by the Society.
</t>
    </r>
  </si>
  <si>
    <r>
      <t xml:space="preserve">Other mortgage / rent commitments (£)  </t>
    </r>
    <r>
      <rPr>
        <sz val="11"/>
        <color theme="1"/>
        <rFont val="Calibri"/>
        <family val="2"/>
        <scheme val="minor"/>
      </rPr>
      <t xml:space="preserve">  </t>
    </r>
  </si>
  <si>
    <t xml:space="preserve">(to be insertedby the Society) </t>
  </si>
  <si>
    <t>Loan payments (£)</t>
  </si>
  <si>
    <t>Household energy costs</t>
  </si>
  <si>
    <t xml:space="preserve">Customer Name: </t>
  </si>
  <si>
    <t xml:space="preserve">Pay (£) - average net monthly income             </t>
  </si>
  <si>
    <t>Expenditure</t>
  </si>
  <si>
    <t>Single Person</t>
  </si>
  <si>
    <t>Couple No Children</t>
  </si>
  <si>
    <t>Couple 1 child</t>
  </si>
  <si>
    <t>Couple 2 children or more</t>
  </si>
  <si>
    <t>Single with 1 child</t>
  </si>
  <si>
    <t>Single with 2 children or more</t>
  </si>
  <si>
    <t>Three adults no children</t>
  </si>
  <si>
    <t>Three adults and children</t>
  </si>
  <si>
    <t>Groceries</t>
  </si>
  <si>
    <t>Household Energy</t>
  </si>
  <si>
    <t>Council Tax</t>
  </si>
  <si>
    <t>Water</t>
  </si>
  <si>
    <t>Telephone</t>
  </si>
  <si>
    <t>Buildings Ins</t>
  </si>
  <si>
    <t>Ground Rent</t>
  </si>
  <si>
    <t>Essential Travel</t>
  </si>
  <si>
    <t>Total BE</t>
  </si>
  <si>
    <t>TV</t>
  </si>
  <si>
    <t>Child Care</t>
  </si>
  <si>
    <t>Motoring Cost</t>
  </si>
  <si>
    <t>Clothing</t>
  </si>
  <si>
    <t>Household App &amp; Repairs</t>
  </si>
  <si>
    <t>Recreational Spending</t>
  </si>
  <si>
    <t>Total BLI</t>
  </si>
  <si>
    <t>Total</t>
  </si>
  <si>
    <t>Number of adults applying for the mortgage</t>
  </si>
  <si>
    <t>Category of applicant</t>
  </si>
  <si>
    <t>Single, couple or 3 adults</t>
  </si>
  <si>
    <t>Term Months (in addition to years above)</t>
  </si>
  <si>
    <t>Repayment mortgage details</t>
  </si>
  <si>
    <t>Interest Only mortgage details</t>
  </si>
  <si>
    <t>Combined</t>
  </si>
  <si>
    <t>Minimums</t>
  </si>
  <si>
    <t>RESULT</t>
  </si>
  <si>
    <t>Number of dependants</t>
  </si>
  <si>
    <t>Customer details</t>
  </si>
  <si>
    <t>£/month</t>
  </si>
  <si>
    <t>Number of adults</t>
  </si>
  <si>
    <t>Type of mortgage Repayment/Interest Only/Combined</t>
  </si>
  <si>
    <t>Mortgage product selection</t>
  </si>
  <si>
    <t>2 or more</t>
  </si>
  <si>
    <t>Type</t>
  </si>
  <si>
    <t>Rental income</t>
  </si>
  <si>
    <t>Benefits</t>
  </si>
  <si>
    <t>Maintenance income</t>
  </si>
  <si>
    <t>Pension income</t>
  </si>
  <si>
    <t>Other income</t>
  </si>
  <si>
    <t>Maintenance payments</t>
  </si>
  <si>
    <t xml:space="preserve">Buildings Insurance </t>
  </si>
  <si>
    <t>Ground Rent &amp; Service Charges for Leasehold Properties</t>
  </si>
  <si>
    <t>Essential travel costs - Fuel, Bus fares &amp; Train fares</t>
  </si>
  <si>
    <t>Child care costs (include where income from applicant is dependent on this arrangement)</t>
  </si>
  <si>
    <t>Motoring Costs - Insurance, MOT, Tax, Servicing &amp; repairs</t>
  </si>
  <si>
    <t>Household Appliances &amp; Repairs</t>
  </si>
  <si>
    <t>Groceries including Toiletries &amp; Cleaning Products</t>
  </si>
  <si>
    <t>Mortgage details</t>
  </si>
  <si>
    <t>Current Initial Interest Rate (populates from product selection)</t>
  </si>
  <si>
    <t>Product</t>
  </si>
  <si>
    <t>SVR</t>
  </si>
  <si>
    <t>Current SVR</t>
  </si>
  <si>
    <t>Max LTV (populates from product selection)</t>
  </si>
  <si>
    <t>Max LTV</t>
  </si>
  <si>
    <t>NB - Payment populates from calculator sheet</t>
  </si>
  <si>
    <t>%Excess Income over Total EXP</t>
  </si>
  <si>
    <t>If you need to add products insert lines above the zero and complete.</t>
  </si>
  <si>
    <t>Combined Monthly Repayment Stressed</t>
  </si>
  <si>
    <t>Static</t>
  </si>
  <si>
    <t>Stressed Rate/100</t>
  </si>
  <si>
    <t>Normal repayment</t>
  </si>
  <si>
    <t>Stressed repayment</t>
  </si>
  <si>
    <t>Normal payment</t>
  </si>
  <si>
    <t>Stressed payment</t>
  </si>
  <si>
    <t>Over rides</t>
  </si>
  <si>
    <t>Mortgage 2</t>
  </si>
  <si>
    <t>Mortgage 3</t>
  </si>
  <si>
    <t>Mortgage 4</t>
  </si>
  <si>
    <t>Mortgage 5</t>
  </si>
  <si>
    <t>Mortgage 6</t>
  </si>
  <si>
    <t>Mortgage 1 (formula)</t>
  </si>
  <si>
    <t>Tracker Repayment - Enter in yellow cells</t>
  </si>
  <si>
    <t>Collar</t>
  </si>
  <si>
    <t>TOTAL</t>
  </si>
  <si>
    <t>Tracker Interest only - Enter in yellow cells</t>
  </si>
  <si>
    <t>Rate/100 (without collar)</t>
  </si>
  <si>
    <t>Enter data in white cells</t>
  </si>
  <si>
    <t>Amount £</t>
  </si>
  <si>
    <t>Actual (A) or Estimate (E)</t>
  </si>
  <si>
    <t>Total Gross income</t>
  </si>
  <si>
    <t>Actual or Estimate</t>
  </si>
  <si>
    <t>A</t>
  </si>
  <si>
    <t>E</t>
  </si>
  <si>
    <t>Combined Monthly Repayment</t>
  </si>
  <si>
    <t>Region</t>
  </si>
  <si>
    <t>London or the South East</t>
  </si>
  <si>
    <t>Remainder of England and Wales</t>
  </si>
  <si>
    <t>Loan total</t>
  </si>
  <si>
    <t>Item</t>
  </si>
  <si>
    <t>LTI</t>
  </si>
  <si>
    <t>LTI CALCULATION</t>
  </si>
  <si>
    <t>Gross income applicant 1 (per annum)</t>
  </si>
  <si>
    <t>Repayment - capital raising</t>
  </si>
  <si>
    <t>Interest Only - capital raising</t>
  </si>
  <si>
    <t>Non qualifying capital raising Interest Only mortgage details</t>
  </si>
  <si>
    <t>Non qualifying capital raising Repayment mortgage details</t>
  </si>
  <si>
    <t>*See lending policy "Income – Standard Policy" section</t>
  </si>
  <si>
    <t>Estimated or Actual (E/A)</t>
  </si>
  <si>
    <t>Estimated, Actual, or Minimum (E/A/M)</t>
  </si>
  <si>
    <t>Estimated, Actual or Minimum (E/A/M)</t>
  </si>
  <si>
    <t>This mortgage affordability calculator is designed to indicate how much your client could afford to borrow through Earl Shilton Building Society based on income and expenditure.
This indication of an amount affordable does not constitute an agreement in principle or an offer of a mortgage.
Information submitted (which should be as accurate as possible) will be subject to verification by the Society on receipt of an application against bank statements and other sources.
The result does not take into account any fees unless added. The mortgage amounts that the Society indicates are affordable are subject to product and Society Lending Criteria and all other terms and conditions.
All rates are variable and are subject to change and the results are valid for today only.
Where the result is ‘Refer’, then please email the spreadsheet, plus supporting information, to</t>
  </si>
  <si>
    <t>For the use of Intermediaries only and not for use by the General Public</t>
  </si>
  <si>
    <t>This mortgage affordability calculator remains the property of Earl Shilton Building Society and must not be distributed outside of the intermediary it has been supplied to without permission from the owner.</t>
  </si>
  <si>
    <t>Version history</t>
  </si>
  <si>
    <t>Version</t>
  </si>
  <si>
    <t>Details</t>
  </si>
  <si>
    <t>1-6</t>
  </si>
  <si>
    <t>• Non qualifying capital raising mortgages can now be entered when selecting a combined mortgage which will be stressed from SVR.
• The concept of Broker Actual has been removed from the AID tab as feedback was that this was unnecessary.
• Entered “Maintenance commitments /repayment of applicable loans” to LTI tab so deductions can be entered when calculating LTI.
• Fixed a bug where the estimated or actual column for monthly income wasn’t working correctly.
• Fixed a bug where LTI wouldn’t calculate correctly if multiple mortgages were on the Repayment calculator tab.
• Widened column J on AID tab to allow for more details to be entered.
• Entered sample balances of 999 on the front sheet where balances have to be entered (gross income, mortgage balance &amp; net monthly income).</t>
  </si>
  <si>
    <t>• Disclaimer wording added on the “affordability checker” tab in advance of sharing a version of the spreadsheet with selected brokers.  Calculations will be hidden and inaccessible on the broker version.</t>
  </si>
  <si>
    <t xml:space="preserve">• Disclaimer wording amended on the “affordability checker” tab in advance of sharing a version of the spreadsheet with selected brokers.  Calculations will be hidden and inaccessible on the broker version.
• Title changed to “ESBS Affordability Calculator” to bring in line with disclaimer wording. 
</t>
  </si>
  <si>
    <t>Pre release versions</t>
  </si>
  <si>
    <t>Date</t>
  </si>
  <si>
    <t>Various</t>
  </si>
  <si>
    <t xml:space="preserve">• The result formula on the first tab, now gives “refer” if the LTI is above 4 rather than 4.5
• Added a version history to the statics tab.
</t>
  </si>
  <si>
    <t>No ERC SVR</t>
  </si>
  <si>
    <t>• New mortgage products added
• Small bug on AID sheet fixed</t>
  </si>
  <si>
    <t>• LTI limit increased from 4 to 4.49</t>
  </si>
  <si>
    <t>Max rate (5 years)</t>
  </si>
  <si>
    <t>• Dentist product rate updated</t>
  </si>
  <si>
    <t>• Updated for rates to be launched 1st June</t>
  </si>
  <si>
    <t>Calculated LTV</t>
  </si>
  <si>
    <t>• Updated for new FTB product
• Added property value and LTV</t>
  </si>
  <si>
    <t>Estimated Property Value (end value for self build)</t>
  </si>
  <si>
    <t>Max LTV increased on products 225, 236 &amp; 237</t>
  </si>
  <si>
    <t>• New mortgage products added
• Credit card debt minimum of £25 added</t>
  </si>
  <si>
    <t>• Added stressed rate which can be altered as 3% minimum removed</t>
  </si>
  <si>
    <t>Affordability stressed rate (min 1%)</t>
  </si>
  <si>
    <t>Difference</t>
  </si>
  <si>
    <t xml:space="preserve">Additional adjustment for judgement of anticipated change in margin between the Society’s standard variable rate and Bank of England Base Rate </t>
  </si>
  <si>
    <t>Total (note minimum is 1%)</t>
  </si>
  <si>
    <t>• SVR updated
• Updated for new FTB product (275 to 284)</t>
  </si>
  <si>
    <t>Maximum loan size based on standard criteria</t>
  </si>
  <si>
    <t>Commitments (do not enter those to be cleared when the new mortgage commences)</t>
  </si>
  <si>
    <t>Other Mortgage / rent commitments / BTL shortfall</t>
  </si>
  <si>
    <t>Income details (per month)</t>
  </si>
  <si>
    <t>Expenditure details (per month)</t>
  </si>
  <si>
    <t>Credit card payments - insert 3% of outstanding balance(s) or £25 whichever is higher</t>
  </si>
  <si>
    <t>Loan payments – less than two years but more than 6 months to run</t>
  </si>
  <si>
    <t>esbs Affordability Calculator</t>
  </si>
  <si>
    <t>Loan payments – more than two years to run</t>
  </si>
  <si>
    <t>• Maximum loan size added
• Commitments now automatically feed through to LTI
• Commitments section changed to account for lending policy rules on loans less than 2 years to expiry</t>
  </si>
  <si>
    <t>Maximum loan size limited by</t>
  </si>
  <si>
    <t>Total mortgage figure used</t>
  </si>
  <si>
    <t>Affordability</t>
  </si>
  <si>
    <t>LTV</t>
  </si>
  <si>
    <t>Maximum loan size is provided for guide purposes only. Please contact esbs for a more accurate assessment of the loan size which could be offered.
Note the mortgage product may also have a maximum loan size limitation which is not shown above.</t>
  </si>
  <si>
    <t>Updated affordability stress to 1% following 6 monthly review</t>
  </si>
  <si>
    <t>LTV Max loan</t>
  </si>
  <si>
    <t>95% max loan</t>
  </si>
  <si>
    <t>90% max loan</t>
  </si>
  <si>
    <t>85% max loan</t>
  </si>
  <si>
    <t>75% max loan</t>
  </si>
  <si>
    <t>80% max loan</t>
  </si>
  <si>
    <t>Loan size</t>
  </si>
  <si>
    <t>Gross income applicant 2 (per annum)</t>
  </si>
  <si>
    <t>Gross income applicant 3 (per annum)</t>
  </si>
  <si>
    <t>Pay - average net monthly income (applicant 1)</t>
  </si>
  <si>
    <t>Pay - average net monthly income (applicant 2)</t>
  </si>
  <si>
    <t>Pay - average net monthly income (applicant 3)</t>
  </si>
  <si>
    <t>• Maximum loan size due to MIG limits added
• Added separate gross and net incomes for up to 4 applicants
• Property value is now highlighted yellow if it hasn't been completed</t>
  </si>
  <si>
    <t>Gross income applicant 4 (per annum)</t>
  </si>
  <si>
    <t>Pay - average net monthly income (applicant 4)</t>
  </si>
  <si>
    <t>Discount</t>
  </si>
  <si>
    <t>SVR -1.85% for 5 years</t>
  </si>
  <si>
    <t>SVR -2.50% for 5 years</t>
  </si>
  <si>
    <t>Self build SVR -1.00% for 5 years</t>
  </si>
  <si>
    <t>1st buy SVR - 2.25% for 5 years</t>
  </si>
  <si>
    <t>Mixed use SVR - 1.30% for 5 years</t>
  </si>
  <si>
    <t>298/299</t>
  </si>
  <si>
    <t>• SVR updated
• Updated for new products
• Affordability stress 6 monthly review</t>
  </si>
  <si>
    <t>enquire@esbs.co.uk</t>
  </si>
  <si>
    <t>• Fixed a bug on repayment calculator sheet
• Removed functionality to override values on AID tab
• Changed broker version to be without macros
• Added data validation to term in years / months</t>
  </si>
  <si>
    <t>• SVR updated</t>
  </si>
  <si>
    <t>As at 01/08/23</t>
  </si>
  <si>
    <t>On front sheet I suggest total mortgage amount is used and then the amount is overwritten using the override collumn</t>
  </si>
  <si>
    <t>Retention products not included but rate on this sheet can be changed</t>
  </si>
  <si>
    <t xml:space="preserve">White cells can be modified for mortgages 2-6. For mortgage 1 (collumn D) please use override </t>
  </si>
  <si>
    <t>• SVR updated
• Affordability minimums updated
• Changes made to repayment calculator tab to make it more easy for direct team to use
• Fixed issue with limiting London &amp; South East to 75% LTV rather than 80%</t>
  </si>
  <si>
    <t>• Fixed a bug where if income isn't entered maximum loan size for affordability equalled loan entered
• Changed calculation of LTI to remove commitments as per change in Lending Policy agreed by the Board in October 2023</t>
  </si>
  <si>
    <t>Highest 3m SONIA over next 5 years (source K&amp;S weekly rate round up 27/11/2023)</t>
  </si>
  <si>
    <t>Current 3m SONIA (source K&amp;S weekly rate round up 27/11/2023)</t>
  </si>
  <si>
    <t>Calculation of the above (5th December 2023, next review due by 5th June 2024)</t>
  </si>
  <si>
    <t>BTL stress rate (update at same time as above)</t>
  </si>
  <si>
    <t>Lowest 5 year fixed BTL mortgage (60% LTV)</t>
  </si>
  <si>
    <t>Highest 5 year fixed BTL mortgage (60% LTV)</t>
  </si>
  <si>
    <t>Average rate to be used (plus stress above)</t>
  </si>
  <si>
    <t>Remortgage SVR -2.75% for 5 years</t>
  </si>
  <si>
    <t>• Fixed a bug where if property was in London or the South East ma LTV was always 80%
• Updated for new products</t>
  </si>
  <si>
    <t>295/296</t>
  </si>
  <si>
    <t>SVR -2.30% for 5 years</t>
  </si>
  <si>
    <t>VERSION 28</t>
  </si>
  <si>
    <t>SVR -1.50% for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</si>
</sst>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u/>
      <sz val="12"/>
      <color indexed="8"/>
      <name val="Calibri"/>
      <family val="2"/>
    </font>
    <font>
      <b/>
      <sz val="12"/>
      <color indexed="8"/>
      <name val="Calibri"/>
      <family val="2"/>
    </font>
    <font>
      <sz val="12"/>
      <color indexed="8"/>
      <name val="Calibri"/>
      <family val="2"/>
    </font>
    <font>
      <b/>
      <u/>
      <sz val="10"/>
      <name val="Arial"/>
      <family val="2"/>
    </font>
    <font>
      <u/>
      <sz val="10"/>
      <name val="Arial"/>
      <family val="2"/>
    </font>
    <font>
      <b/>
      <sz val="10"/>
      <name val="Arial"/>
      <family val="2"/>
    </font>
    <font>
      <b/>
      <sz val="11"/>
      <color indexed="8"/>
      <name val="Calibri"/>
      <family val="2"/>
    </font>
    <font>
      <b/>
      <u/>
      <sz val="11"/>
      <color indexed="8"/>
      <name val="Calibri"/>
      <family val="2"/>
    </font>
    <font>
      <b/>
      <u/>
      <sz val="14"/>
      <color indexed="8"/>
      <name val="Calibri"/>
      <family val="2"/>
    </font>
    <font>
      <b/>
      <sz val="12"/>
      <color indexed="8"/>
      <name val="Calibri"/>
      <family val="2"/>
    </font>
    <font>
      <b/>
      <sz val="14"/>
      <name val="Calibri"/>
      <family val="2"/>
    </font>
    <font>
      <sz val="11"/>
      <color indexed="10"/>
      <name val="Calibri"/>
      <family val="2"/>
    </font>
    <font>
      <sz val="11"/>
      <color indexed="10"/>
      <name val="Calibri"/>
      <family val="2"/>
    </font>
    <font>
      <sz val="11"/>
      <color indexed="17"/>
      <name val="Calibri"/>
      <family val="2"/>
    </font>
    <font>
      <b/>
      <sz val="11"/>
      <color theme="1"/>
      <name val="Calibri"/>
      <family val="2"/>
      <scheme val="minor"/>
    </font>
    <font>
      <sz val="11"/>
      <color rgb="FFFF0000"/>
      <name val="Calibri"/>
      <family val="2"/>
      <scheme val="minor"/>
    </font>
    <font>
      <sz val="22"/>
      <color theme="0"/>
      <name val="Calibri"/>
      <family val="2"/>
      <scheme val="minor"/>
    </font>
    <font>
      <sz val="11"/>
      <name val="Calibri"/>
      <family val="2"/>
      <scheme val="minor"/>
    </font>
    <font>
      <b/>
      <sz val="14"/>
      <color theme="1"/>
      <name val="Calibri"/>
      <family val="2"/>
      <scheme val="minor"/>
    </font>
    <font>
      <b/>
      <u/>
      <sz val="11"/>
      <color theme="1"/>
      <name val="Calibri"/>
      <family val="2"/>
      <scheme val="minor"/>
    </font>
    <font>
      <sz val="10"/>
      <name val="Arial"/>
      <family val="2"/>
    </font>
    <font>
      <b/>
      <sz val="11"/>
      <color rgb="FFFF000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4"/>
      <color rgb="FFFF0000"/>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0A479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5" fillId="0" borderId="0" applyNumberFormat="0" applyFill="0" applyBorder="0" applyAlignment="0" applyProtection="0"/>
  </cellStyleXfs>
  <cellXfs count="247">
    <xf numFmtId="0" fontId="0" fillId="0" borderId="0" xfId="0"/>
    <xf numFmtId="0" fontId="0" fillId="0" borderId="0" xfId="0" applyProtection="1">
      <protection locked="0"/>
    </xf>
    <xf numFmtId="0" fontId="13" fillId="0" borderId="0" xfId="0" applyFont="1" applyProtection="1">
      <protection locked="0"/>
    </xf>
    <xf numFmtId="0" fontId="0" fillId="0" borderId="0" xfId="0" applyAlignment="1">
      <alignment horizontal="right"/>
    </xf>
    <xf numFmtId="0" fontId="0" fillId="3" borderId="2" xfId="0" applyFill="1" applyBorder="1" applyAlignment="1">
      <alignmen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4" xfId="0" applyFill="1" applyBorder="1" applyAlignment="1">
      <alignment vertical="center" wrapText="1"/>
    </xf>
    <xf numFmtId="0" fontId="15" fillId="0" borderId="5" xfId="0" applyFont="1" applyBorder="1" applyAlignment="1">
      <alignment wrapText="1"/>
    </xf>
    <xf numFmtId="0" fontId="0" fillId="0" borderId="6" xfId="0" applyBorder="1"/>
    <xf numFmtId="0" fontId="0" fillId="0" borderId="5" xfId="0" applyBorder="1"/>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15" fillId="0" borderId="2" xfId="0" applyFont="1" applyBorder="1"/>
    <xf numFmtId="0" fontId="0" fillId="0" borderId="10" xfId="0" applyBorder="1" applyProtection="1">
      <protection locked="0"/>
    </xf>
    <xf numFmtId="0" fontId="5" fillId="3" borderId="23" xfId="0" applyFont="1" applyFill="1" applyBorder="1" applyProtection="1">
      <protection locked="0"/>
    </xf>
    <xf numFmtId="0" fontId="0" fillId="3" borderId="23" xfId="0" applyFill="1" applyBorder="1" applyProtection="1">
      <protection locked="0"/>
    </xf>
    <xf numFmtId="0" fontId="4" fillId="3" borderId="23" xfId="0" applyFont="1" applyFill="1" applyBorder="1" applyProtection="1">
      <protection locked="0"/>
    </xf>
    <xf numFmtId="0" fontId="6" fillId="3" borderId="23" xfId="0" applyFont="1" applyFill="1" applyBorder="1" applyProtection="1">
      <protection locked="0"/>
    </xf>
    <xf numFmtId="0" fontId="0" fillId="3" borderId="15" xfId="0" applyFill="1" applyBorder="1" applyAlignment="1">
      <alignment vertical="center" wrapText="1"/>
    </xf>
    <xf numFmtId="0" fontId="0" fillId="0" borderId="17" xfId="0" applyBorder="1" applyAlignment="1">
      <alignment vertical="center"/>
    </xf>
    <xf numFmtId="0" fontId="0" fillId="3" borderId="18" xfId="0" applyFill="1" applyBorder="1" applyAlignment="1">
      <alignment vertical="center" wrapText="1"/>
    </xf>
    <xf numFmtId="0" fontId="0" fillId="0" borderId="20" xfId="0" applyBorder="1" applyAlignment="1">
      <alignment vertical="center"/>
    </xf>
    <xf numFmtId="0" fontId="0" fillId="0" borderId="18" xfId="0" applyBorder="1"/>
    <xf numFmtId="10" fontId="0" fillId="0" borderId="4" xfId="0" applyNumberFormat="1" applyBorder="1"/>
    <xf numFmtId="10" fontId="0" fillId="0" borderId="19" xfId="0" applyNumberFormat="1" applyBorder="1"/>
    <xf numFmtId="10" fontId="0" fillId="0" borderId="0" xfId="0" applyNumberFormat="1"/>
    <xf numFmtId="0" fontId="0" fillId="3" borderId="2" xfId="0" applyFill="1" applyBorder="1"/>
    <xf numFmtId="0" fontId="0" fillId="3" borderId="3" xfId="0" applyFill="1" applyBorder="1"/>
    <xf numFmtId="0" fontId="0" fillId="3" borderId="4" xfId="0" applyFill="1" applyBorder="1"/>
    <xf numFmtId="0" fontId="20" fillId="3" borderId="2" xfId="0" applyFont="1" applyFill="1" applyBorder="1" applyProtection="1">
      <protection locked="0"/>
    </xf>
    <xf numFmtId="0" fontId="0" fillId="3" borderId="4" xfId="0" applyFill="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8" xfId="0" applyBorder="1" applyProtection="1">
      <protection locked="0"/>
    </xf>
    <xf numFmtId="0" fontId="0" fillId="0" borderId="20" xfId="0" applyBorder="1" applyProtection="1">
      <protection locked="0"/>
    </xf>
    <xf numFmtId="0" fontId="0" fillId="0" borderId="7" xfId="0" applyBorder="1" applyProtection="1">
      <protection locked="0"/>
    </xf>
    <xf numFmtId="4" fontId="0" fillId="0" borderId="8" xfId="0" applyNumberFormat="1" applyBorder="1" applyProtection="1">
      <protection locked="0"/>
    </xf>
    <xf numFmtId="0" fontId="6" fillId="3" borderId="21" xfId="0" applyFont="1" applyFill="1" applyBorder="1" applyProtection="1">
      <protection locked="0"/>
    </xf>
    <xf numFmtId="0" fontId="21" fillId="3" borderId="23" xfId="0" applyFont="1" applyFill="1" applyBorder="1" applyProtection="1">
      <protection locked="0"/>
    </xf>
    <xf numFmtId="10" fontId="0" fillId="0" borderId="0" xfId="0" applyNumberFormat="1" applyProtection="1">
      <protection locked="0"/>
    </xf>
    <xf numFmtId="10" fontId="16" fillId="0" borderId="0" xfId="0" applyNumberFormat="1" applyFont="1" applyProtection="1">
      <protection locked="0"/>
    </xf>
    <xf numFmtId="0" fontId="0" fillId="8" borderId="24" xfId="0" applyFill="1" applyBorder="1" applyProtection="1">
      <protection locked="0"/>
    </xf>
    <xf numFmtId="4" fontId="16" fillId="3" borderId="23" xfId="0" applyNumberFormat="1" applyFont="1" applyFill="1" applyBorder="1" applyProtection="1">
      <protection locked="0"/>
    </xf>
    <xf numFmtId="10" fontId="0" fillId="8" borderId="24" xfId="0" applyNumberFormat="1" applyFill="1" applyBorder="1" applyProtection="1">
      <protection locked="0"/>
    </xf>
    <xf numFmtId="0" fontId="6" fillId="3" borderId="24" xfId="0" applyFont="1" applyFill="1" applyBorder="1" applyAlignment="1" applyProtection="1">
      <alignment horizontal="center"/>
      <protection locked="0"/>
    </xf>
    <xf numFmtId="0" fontId="15" fillId="3" borderId="24"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4" fontId="22" fillId="3" borderId="24" xfId="0" applyNumberFormat="1" applyFont="1" applyFill="1" applyBorder="1" applyAlignment="1" applyProtection="1">
      <alignment horizontal="center"/>
      <protection locked="0"/>
    </xf>
    <xf numFmtId="4" fontId="0" fillId="8" borderId="24" xfId="0" applyNumberFormat="1" applyFill="1" applyBorder="1" applyProtection="1">
      <protection locked="0"/>
    </xf>
    <xf numFmtId="4" fontId="0" fillId="0" borderId="0" xfId="0" applyNumberFormat="1" applyProtection="1">
      <protection locked="0"/>
    </xf>
    <xf numFmtId="10" fontId="0" fillId="7" borderId="0" xfId="0" applyNumberFormat="1" applyFill="1"/>
    <xf numFmtId="3" fontId="0" fillId="6" borderId="0" xfId="0" applyNumberFormat="1" applyFill="1" applyProtection="1">
      <protection locked="0"/>
    </xf>
    <xf numFmtId="0" fontId="19" fillId="5" borderId="22" xfId="0" applyFont="1" applyFill="1" applyBorder="1" applyAlignment="1">
      <alignment horizontal="right"/>
    </xf>
    <xf numFmtId="0" fontId="23" fillId="0" borderId="0" xfId="0" applyFont="1"/>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7" fillId="0" borderId="0" xfId="0" applyFont="1" applyProtection="1">
      <protection locked="0"/>
    </xf>
    <xf numFmtId="0" fontId="0" fillId="0" borderId="0" xfId="0" applyAlignment="1" applyProtection="1">
      <alignment wrapText="1"/>
      <protection locked="0"/>
    </xf>
    <xf numFmtId="0" fontId="0" fillId="3" borderId="2" xfId="0" applyFill="1" applyBorder="1" applyProtection="1">
      <protection locked="0"/>
    </xf>
    <xf numFmtId="0" fontId="0" fillId="3" borderId="3" xfId="0" applyFill="1" applyBorder="1" applyProtection="1">
      <protection locked="0"/>
    </xf>
    <xf numFmtId="0" fontId="0" fillId="3" borderId="3" xfId="0" applyFill="1" applyBorder="1" applyAlignment="1" applyProtection="1">
      <alignment wrapText="1"/>
      <protection locked="0"/>
    </xf>
    <xf numFmtId="0" fontId="0" fillId="0" borderId="5" xfId="0" applyBorder="1" applyAlignment="1" applyProtection="1">
      <alignment horizontal="left"/>
      <protection locked="0"/>
    </xf>
    <xf numFmtId="0" fontId="13" fillId="0" borderId="0" xfId="0" applyFont="1" applyAlignment="1" applyProtection="1">
      <alignment horizontal="center"/>
      <protection locked="0"/>
    </xf>
    <xf numFmtId="0" fontId="12" fillId="0" borderId="0" xfId="0" applyFont="1" applyProtection="1">
      <protection locked="0"/>
    </xf>
    <xf numFmtId="0" fontId="12" fillId="0" borderId="0" xfId="0" applyFont="1" applyAlignment="1" applyProtection="1">
      <alignment horizontal="center"/>
      <protection locked="0"/>
    </xf>
    <xf numFmtId="0" fontId="0" fillId="0" borderId="0" xfId="0" applyAlignment="1" applyProtection="1">
      <alignment horizontal="right"/>
      <protection locked="0"/>
    </xf>
    <xf numFmtId="0" fontId="12" fillId="0" borderId="0" xfId="0" applyFont="1" applyAlignment="1" applyProtection="1">
      <alignment horizontal="right"/>
      <protection locked="0"/>
    </xf>
    <xf numFmtId="0" fontId="16" fillId="0" borderId="0" xfId="0" applyFont="1" applyAlignment="1" applyProtection="1">
      <alignment horizontal="right"/>
      <protection locked="0"/>
    </xf>
    <xf numFmtId="0" fontId="7" fillId="0" borderId="2" xfId="0" applyFont="1" applyBorder="1" applyProtection="1">
      <protection locked="0"/>
    </xf>
    <xf numFmtId="0" fontId="0" fillId="0" borderId="3" xfId="0" applyBorder="1" applyProtection="1">
      <protection locked="0"/>
    </xf>
    <xf numFmtId="4" fontId="0" fillId="0" borderId="3" xfId="0" applyNumberFormat="1" applyBorder="1" applyProtection="1">
      <protection locked="0"/>
    </xf>
    <xf numFmtId="0" fontId="0" fillId="0" borderId="4" xfId="0" applyBorder="1" applyProtection="1">
      <protection locked="0"/>
    </xf>
    <xf numFmtId="0" fontId="8" fillId="0" borderId="15" xfId="0" applyFont="1" applyBorder="1" applyProtection="1">
      <protection locked="0"/>
    </xf>
    <xf numFmtId="0" fontId="0" fillId="0" borderId="16" xfId="0" applyBorder="1" applyProtection="1">
      <protection locked="0"/>
    </xf>
    <xf numFmtId="0" fontId="0" fillId="0" borderId="17" xfId="0" applyBorder="1" applyProtection="1">
      <protection locked="0"/>
    </xf>
    <xf numFmtId="4" fontId="0" fillId="0" borderId="0" xfId="0" applyNumberFormat="1" applyAlignment="1" applyProtection="1">
      <alignment wrapText="1"/>
      <protection locked="0"/>
    </xf>
    <xf numFmtId="0" fontId="13" fillId="0" borderId="0" xfId="0" applyFont="1" applyAlignment="1" applyProtection="1">
      <alignment horizontal="right"/>
      <protection locked="0"/>
    </xf>
    <xf numFmtId="4" fontId="7" fillId="0" borderId="0" xfId="0" applyNumberFormat="1" applyFont="1" applyProtection="1">
      <protection locked="0"/>
    </xf>
    <xf numFmtId="0" fontId="8" fillId="0" borderId="5" xfId="0" applyFont="1" applyBorder="1" applyProtection="1">
      <protection locked="0"/>
    </xf>
    <xf numFmtId="0" fontId="13" fillId="0" borderId="3" xfId="0" applyFont="1" applyBorder="1" applyProtection="1">
      <protection locked="0"/>
    </xf>
    <xf numFmtId="0" fontId="8" fillId="3" borderId="2" xfId="0" applyFont="1" applyFill="1" applyBorder="1" applyProtection="1">
      <protection locked="0"/>
    </xf>
    <xf numFmtId="4" fontId="0" fillId="3" borderId="3" xfId="0" applyNumberFormat="1" applyFill="1" applyBorder="1" applyProtection="1">
      <protection locked="0"/>
    </xf>
    <xf numFmtId="0" fontId="13" fillId="3" borderId="3" xfId="0" applyFont="1" applyFill="1" applyBorder="1" applyProtection="1">
      <protection locked="0"/>
    </xf>
    <xf numFmtId="0" fontId="14" fillId="0" borderId="2" xfId="0" applyFont="1" applyBorder="1" applyProtection="1">
      <protection locked="0"/>
    </xf>
    <xf numFmtId="0" fontId="14" fillId="0" borderId="3" xfId="0" applyFont="1" applyBorder="1" applyProtection="1">
      <protection locked="0"/>
    </xf>
    <xf numFmtId="0" fontId="14" fillId="0" borderId="0" xfId="0" applyFont="1" applyProtection="1">
      <protection locked="0"/>
    </xf>
    <xf numFmtId="4" fontId="0" fillId="0" borderId="0" xfId="0" applyNumberFormat="1"/>
    <xf numFmtId="4" fontId="0" fillId="0" borderId="3" xfId="0" applyNumberFormat="1" applyBorder="1"/>
    <xf numFmtId="0" fontId="13" fillId="0" borderId="0" xfId="0" applyFont="1" applyAlignment="1">
      <alignment horizontal="center"/>
    </xf>
    <xf numFmtId="4" fontId="0" fillId="0" borderId="16" xfId="0" applyNumberFormat="1" applyBorder="1"/>
    <xf numFmtId="4" fontId="0" fillId="2" borderId="0" xfId="0" applyNumberFormat="1" applyFill="1"/>
    <xf numFmtId="4" fontId="0" fillId="3" borderId="0" xfId="0" applyNumberFormat="1" applyFill="1"/>
    <xf numFmtId="4" fontId="0" fillId="0" borderId="0" xfId="0" applyNumberFormat="1" applyAlignment="1">
      <alignment wrapText="1"/>
    </xf>
    <xf numFmtId="0" fontId="0" fillId="0" borderId="16" xfId="0" applyBorder="1"/>
    <xf numFmtId="0" fontId="12" fillId="0" borderId="0" xfId="0" applyFont="1"/>
    <xf numFmtId="0" fontId="13" fillId="0" borderId="0" xfId="0" applyFont="1"/>
    <xf numFmtId="4" fontId="7" fillId="0" borderId="3" xfId="0" applyNumberFormat="1" applyFont="1" applyBorder="1"/>
    <xf numFmtId="4" fontId="7" fillId="0" borderId="0" xfId="0" applyNumberFormat="1" applyFont="1"/>
    <xf numFmtId="0" fontId="14" fillId="0" borderId="4" xfId="0" applyFont="1" applyBorder="1"/>
    <xf numFmtId="0" fontId="0" fillId="3" borderId="23" xfId="0" applyFill="1" applyBorder="1"/>
    <xf numFmtId="0" fontId="6" fillId="3" borderId="23" xfId="0" applyFont="1" applyFill="1" applyBorder="1"/>
    <xf numFmtId="0" fontId="5" fillId="3" borderId="23" xfId="0" applyFont="1" applyFill="1" applyBorder="1"/>
    <xf numFmtId="4" fontId="16" fillId="3" borderId="23" xfId="0" applyNumberFormat="1" applyFont="1" applyFill="1" applyBorder="1"/>
    <xf numFmtId="0" fontId="0" fillId="5" borderId="0" xfId="0" applyFill="1"/>
    <xf numFmtId="0" fontId="0" fillId="6" borderId="0" xfId="0" applyFill="1"/>
    <xf numFmtId="0" fontId="0" fillId="7" borderId="0" xfId="0" applyFill="1"/>
    <xf numFmtId="0" fontId="0" fillId="4" borderId="7" xfId="0" applyFill="1" applyBorder="1"/>
    <xf numFmtId="0" fontId="0" fillId="4" borderId="9" xfId="0" applyFill="1" applyBorder="1"/>
    <xf numFmtId="0" fontId="0" fillId="4" borderId="12" xfId="0" applyFill="1" applyBorder="1"/>
    <xf numFmtId="0" fontId="0" fillId="4" borderId="14" xfId="0" applyFill="1" applyBorder="1"/>
    <xf numFmtId="0" fontId="0" fillId="6" borderId="10" xfId="0" applyFill="1" applyBorder="1"/>
    <xf numFmtId="0" fontId="17" fillId="6" borderId="0" xfId="0" applyFont="1" applyFill="1" applyAlignment="1">
      <alignment horizontal="center" vertical="center"/>
    </xf>
    <xf numFmtId="0" fontId="0" fillId="6" borderId="11" xfId="0" applyFill="1" applyBorder="1"/>
    <xf numFmtId="3" fontId="0" fillId="6" borderId="0" xfId="0" applyNumberFormat="1" applyFill="1"/>
    <xf numFmtId="0" fontId="0" fillId="6" borderId="12" xfId="0" applyFill="1" applyBorder="1"/>
    <xf numFmtId="0" fontId="0" fillId="6" borderId="13" xfId="0" applyFill="1" applyBorder="1"/>
    <xf numFmtId="0" fontId="0" fillId="6" borderId="14" xfId="0" applyFill="1" applyBorder="1"/>
    <xf numFmtId="0" fontId="17" fillId="7" borderId="0" xfId="0" applyFont="1" applyFill="1" applyAlignment="1">
      <alignment horizontal="center" vertical="center"/>
    </xf>
    <xf numFmtId="0" fontId="19" fillId="7" borderId="21" xfId="0" applyFont="1" applyFill="1" applyBorder="1"/>
    <xf numFmtId="0" fontId="17" fillId="4" borderId="8" xfId="0" applyFont="1" applyFill="1" applyBorder="1" applyAlignment="1">
      <alignment horizontal="center" vertical="center"/>
    </xf>
    <xf numFmtId="0" fontId="24" fillId="7" borderId="0" xfId="0" applyFont="1" applyFill="1" applyAlignment="1">
      <alignment horizontal="left" vertical="center"/>
    </xf>
    <xf numFmtId="0" fontId="15" fillId="7" borderId="0" xfId="0" applyFont="1" applyFill="1"/>
    <xf numFmtId="0" fontId="18" fillId="7" borderId="13" xfId="0" applyFont="1" applyFill="1" applyBorder="1" applyAlignment="1">
      <alignment horizontal="left" vertical="center"/>
    </xf>
    <xf numFmtId="0" fontId="18" fillId="5" borderId="13" xfId="0" applyFont="1" applyFill="1" applyBorder="1" applyAlignment="1" applyProtection="1">
      <alignment horizontal="right" vertical="center"/>
      <protection locked="0"/>
    </xf>
    <xf numFmtId="0" fontId="0" fillId="7" borderId="23" xfId="0" applyFill="1" applyBorder="1"/>
    <xf numFmtId="0" fontId="0" fillId="5" borderId="23" xfId="0" applyFill="1" applyBorder="1" applyProtection="1">
      <protection locked="0"/>
    </xf>
    <xf numFmtId="0" fontId="0" fillId="5" borderId="23" xfId="0" applyFill="1" applyBorder="1" applyAlignment="1" applyProtection="1">
      <alignment horizontal="right"/>
      <protection locked="0"/>
    </xf>
    <xf numFmtId="0" fontId="0" fillId="7" borderId="13" xfId="0" applyFill="1" applyBorder="1"/>
    <xf numFmtId="0" fontId="0" fillId="5" borderId="13" xfId="0" applyFill="1" applyBorder="1" applyAlignment="1" applyProtection="1">
      <alignment horizontal="right"/>
      <protection locked="0"/>
    </xf>
    <xf numFmtId="4" fontId="0" fillId="5" borderId="13" xfId="0" applyNumberFormat="1" applyFill="1" applyBorder="1" applyProtection="1">
      <protection locked="0"/>
    </xf>
    <xf numFmtId="0" fontId="0" fillId="7" borderId="13" xfId="0" applyFill="1" applyBorder="1" applyAlignment="1">
      <alignment horizontal="left"/>
    </xf>
    <xf numFmtId="3" fontId="0" fillId="5" borderId="13" xfId="0" applyNumberFormat="1" applyFill="1" applyBorder="1" applyProtection="1">
      <protection locked="0"/>
    </xf>
    <xf numFmtId="3" fontId="0" fillId="5" borderId="23" xfId="0" applyNumberFormat="1" applyFill="1" applyBorder="1" applyProtection="1">
      <protection locked="0"/>
    </xf>
    <xf numFmtId="0" fontId="15" fillId="7" borderId="8" xfId="0" applyFont="1" applyFill="1" applyBorder="1"/>
    <xf numFmtId="0" fontId="20" fillId="7" borderId="0" xfId="0" applyFont="1" applyFill="1" applyAlignment="1" applyProtection="1">
      <alignment horizontal="right"/>
      <protection locked="0"/>
    </xf>
    <xf numFmtId="0" fontId="18" fillId="6" borderId="0" xfId="0" applyFont="1" applyFill="1" applyAlignment="1">
      <alignment horizontal="center" vertical="center"/>
    </xf>
    <xf numFmtId="0" fontId="20" fillId="7" borderId="0" xfId="0" quotePrefix="1" applyFont="1" applyFill="1" applyAlignment="1" applyProtection="1">
      <alignment horizontal="center" wrapText="1"/>
      <protection locked="0"/>
    </xf>
    <xf numFmtId="0" fontId="0" fillId="7" borderId="23" xfId="0" applyFill="1" applyBorder="1" applyProtection="1">
      <protection locked="0"/>
    </xf>
    <xf numFmtId="0" fontId="6" fillId="7" borderId="21" xfId="0" applyFont="1" applyFill="1" applyBorder="1" applyProtection="1">
      <protection locked="0"/>
    </xf>
    <xf numFmtId="4" fontId="18" fillId="7" borderId="23" xfId="0" applyNumberFormat="1" applyFont="1" applyFill="1" applyBorder="1" applyProtection="1">
      <protection locked="0"/>
    </xf>
    <xf numFmtId="4" fontId="24" fillId="7" borderId="24" xfId="0" applyNumberFormat="1" applyFont="1" applyFill="1" applyBorder="1" applyAlignment="1" applyProtection="1">
      <alignment horizontal="center"/>
      <protection locked="0"/>
    </xf>
    <xf numFmtId="3" fontId="0" fillId="7" borderId="0" xfId="0" applyNumberFormat="1" applyFill="1" applyProtection="1">
      <protection locked="0"/>
    </xf>
    <xf numFmtId="3" fontId="0" fillId="7" borderId="8" xfId="0" applyNumberFormat="1" applyFill="1" applyBorder="1" applyProtection="1">
      <protection locked="0"/>
    </xf>
    <xf numFmtId="0" fontId="0" fillId="7" borderId="2" xfId="0" applyFill="1" applyBorder="1"/>
    <xf numFmtId="0" fontId="0" fillId="7" borderId="4" xfId="0" applyFill="1" applyBorder="1"/>
    <xf numFmtId="4" fontId="0" fillId="0" borderId="6" xfId="0" applyNumberFormat="1" applyBorder="1"/>
    <xf numFmtId="3" fontId="0" fillId="5" borderId="13" xfId="0" applyNumberFormat="1" applyFill="1" applyBorder="1" applyAlignment="1" applyProtection="1">
      <alignment horizontal="center"/>
      <protection locked="0"/>
    </xf>
    <xf numFmtId="3" fontId="0" fillId="6" borderId="0" xfId="0" applyNumberFormat="1" applyFill="1" applyAlignment="1" applyProtection="1">
      <alignment horizontal="center"/>
      <protection locked="0"/>
    </xf>
    <xf numFmtId="3" fontId="0" fillId="7" borderId="0" xfId="0" applyNumberFormat="1" applyFill="1" applyAlignment="1" applyProtection="1">
      <alignment horizontal="center"/>
      <protection locked="0"/>
    </xf>
    <xf numFmtId="3" fontId="0" fillId="7" borderId="8" xfId="0" applyNumberFormat="1" applyFill="1" applyBorder="1" applyAlignment="1" applyProtection="1">
      <alignment horizontal="center"/>
      <protection locked="0"/>
    </xf>
    <xf numFmtId="0" fontId="15" fillId="7" borderId="2" xfId="0" applyFont="1" applyFill="1" applyBorder="1"/>
    <xf numFmtId="4" fontId="0" fillId="0" borderId="4" xfId="0" applyNumberFormat="1" applyBorder="1"/>
    <xf numFmtId="0" fontId="15" fillId="5" borderId="0" xfId="0" applyFont="1" applyFill="1"/>
    <xf numFmtId="3" fontId="0" fillId="5" borderId="23" xfId="0" applyNumberFormat="1" applyFill="1" applyBorder="1" applyAlignment="1" applyProtection="1">
      <alignment horizontal="right"/>
      <protection locked="0"/>
    </xf>
    <xf numFmtId="3" fontId="0" fillId="7" borderId="0" xfId="0" applyNumberFormat="1" applyFill="1" applyAlignment="1">
      <alignment horizontal="right"/>
    </xf>
    <xf numFmtId="0" fontId="15" fillId="6" borderId="0" xfId="0" applyFont="1" applyFill="1" applyAlignment="1">
      <alignment horizontal="left" vertical="top"/>
    </xf>
    <xf numFmtId="0" fontId="25" fillId="6" borderId="0" xfId="1" applyFill="1" applyBorder="1" applyAlignment="1" applyProtection="1">
      <alignment horizontal="left" vertical="top"/>
      <protection locked="0"/>
    </xf>
    <xf numFmtId="0" fontId="0" fillId="4" borderId="10" xfId="0" applyFill="1" applyBorder="1"/>
    <xf numFmtId="0" fontId="17" fillId="4" borderId="0" xfId="0" applyFont="1" applyFill="1" applyAlignment="1">
      <alignment horizontal="center" vertical="center"/>
    </xf>
    <xf numFmtId="0" fontId="0" fillId="4" borderId="11" xfId="0" applyFill="1" applyBorder="1"/>
    <xf numFmtId="0" fontId="26" fillId="4" borderId="13" xfId="0" applyFont="1" applyFill="1" applyBorder="1" applyAlignment="1">
      <alignment vertical="center"/>
    </xf>
    <xf numFmtId="16" fontId="0" fillId="0" borderId="5" xfId="0" quotePrefix="1" applyNumberFormat="1" applyBorder="1" applyAlignment="1">
      <alignment horizontal="left"/>
    </xf>
    <xf numFmtId="0" fontId="0" fillId="0" borderId="5" xfId="0" applyBorder="1" applyAlignment="1">
      <alignment horizontal="left"/>
    </xf>
    <xf numFmtId="16" fontId="0" fillId="0" borderId="0" xfId="0" quotePrefix="1" applyNumberFormat="1" applyAlignment="1">
      <alignment horizontal="left"/>
    </xf>
    <xf numFmtId="14" fontId="0" fillId="0" borderId="0" xfId="0" applyNumberFormat="1" applyAlignment="1">
      <alignment horizontal="left"/>
    </xf>
    <xf numFmtId="0" fontId="15" fillId="6" borderId="0" xfId="0" applyFont="1" applyFill="1"/>
    <xf numFmtId="164" fontId="0" fillId="7" borderId="0" xfId="0" applyNumberFormat="1" applyFill="1" applyAlignment="1">
      <alignment horizontal="right"/>
    </xf>
    <xf numFmtId="164" fontId="0" fillId="0" borderId="6" xfId="0" applyNumberFormat="1" applyBorder="1"/>
    <xf numFmtId="164" fontId="0" fillId="0" borderId="6" xfId="0" applyNumberFormat="1" applyBorder="1" applyAlignment="1">
      <alignment horizontal="right"/>
    </xf>
    <xf numFmtId="164" fontId="0" fillId="0" borderId="20" xfId="0" applyNumberFormat="1" applyBorder="1" applyAlignment="1">
      <alignment horizontal="right"/>
    </xf>
    <xf numFmtId="10" fontId="0" fillId="7" borderId="0" xfId="0" applyNumberFormat="1" applyFill="1" applyAlignment="1">
      <alignment horizontal="right"/>
    </xf>
    <xf numFmtId="10" fontId="0" fillId="0" borderId="1" xfId="0" applyNumberFormat="1" applyBorder="1"/>
    <xf numFmtId="0" fontId="0" fillId="8" borderId="2" xfId="0" applyFill="1" applyBorder="1"/>
    <xf numFmtId="0" fontId="0" fillId="8" borderId="3" xfId="0" applyFill="1" applyBorder="1"/>
    <xf numFmtId="0" fontId="0" fillId="8" borderId="4" xfId="0" applyFill="1" applyBorder="1"/>
    <xf numFmtId="10" fontId="0" fillId="3" borderId="4" xfId="0" applyNumberFormat="1" applyFill="1" applyBorder="1"/>
    <xf numFmtId="10" fontId="0" fillId="8" borderId="4" xfId="0" applyNumberFormat="1" applyFill="1" applyBorder="1"/>
    <xf numFmtId="10" fontId="0" fillId="0" borderId="6" xfId="0" applyNumberFormat="1" applyBorder="1"/>
    <xf numFmtId="3" fontId="19" fillId="5" borderId="22" xfId="0" applyNumberFormat="1" applyFont="1" applyFill="1" applyBorder="1" applyAlignment="1">
      <alignment horizontal="right"/>
    </xf>
    <xf numFmtId="0" fontId="15" fillId="7" borderId="21" xfId="0" applyFont="1" applyFill="1" applyBorder="1"/>
    <xf numFmtId="3" fontId="15" fillId="5" borderId="22" xfId="0" applyNumberFormat="1" applyFont="1" applyFill="1" applyBorder="1" applyAlignment="1">
      <alignment horizontal="right"/>
    </xf>
    <xf numFmtId="0" fontId="18" fillId="5" borderId="0" xfId="0" applyFont="1" applyFill="1"/>
    <xf numFmtId="0" fontId="18" fillId="0" borderId="0" xfId="0" applyFont="1"/>
    <xf numFmtId="0" fontId="23" fillId="5" borderId="0" xfId="0" applyFont="1" applyFill="1"/>
    <xf numFmtId="4" fontId="23" fillId="5" borderId="0" xfId="0" applyNumberFormat="1" applyFont="1" applyFill="1"/>
    <xf numFmtId="0" fontId="23" fillId="5" borderId="0" xfId="0" quotePrefix="1" applyFont="1" applyFill="1"/>
    <xf numFmtId="0" fontId="0" fillId="6" borderId="0" xfId="0" applyFill="1" applyAlignment="1">
      <alignment horizontal="right"/>
    </xf>
    <xf numFmtId="4" fontId="0" fillId="6" borderId="0" xfId="0" applyNumberFormat="1" applyFill="1"/>
    <xf numFmtId="0" fontId="0" fillId="3" borderId="1" xfId="0" applyFill="1" applyBorder="1"/>
    <xf numFmtId="10" fontId="0" fillId="0" borderId="27" xfId="0" applyNumberFormat="1" applyBorder="1"/>
    <xf numFmtId="10" fontId="0" fillId="0" borderId="27" xfId="0" applyNumberFormat="1" applyBorder="1" applyAlignment="1">
      <alignment horizontal="right"/>
    </xf>
    <xf numFmtId="10" fontId="0" fillId="0" borderId="28" xfId="0" applyNumberFormat="1" applyBorder="1" applyAlignment="1">
      <alignment horizontal="right"/>
    </xf>
    <xf numFmtId="4" fontId="0" fillId="7" borderId="8" xfId="0" applyNumberFormat="1" applyFill="1" applyBorder="1"/>
    <xf numFmtId="10" fontId="16" fillId="7" borderId="0" xfId="0" applyNumberFormat="1" applyFont="1" applyFill="1"/>
    <xf numFmtId="4" fontId="0" fillId="7" borderId="0" xfId="0" applyNumberFormat="1" applyFill="1"/>
    <xf numFmtId="4" fontId="16" fillId="7" borderId="0" xfId="0" applyNumberFormat="1" applyFont="1" applyFill="1"/>
    <xf numFmtId="4" fontId="15" fillId="7" borderId="25" xfId="0" applyNumberFormat="1" applyFont="1" applyFill="1" applyBorder="1" applyAlignment="1" applyProtection="1">
      <alignment horizontal="center"/>
      <protection locked="0"/>
    </xf>
    <xf numFmtId="10" fontId="15" fillId="7" borderId="26" xfId="0" applyNumberFormat="1" applyFont="1" applyFill="1" applyBorder="1" applyAlignment="1" applyProtection="1">
      <alignment horizontal="center"/>
      <protection locked="0"/>
    </xf>
    <xf numFmtId="0" fontId="15" fillId="7" borderId="26" xfId="0" applyFont="1" applyFill="1" applyBorder="1" applyAlignment="1" applyProtection="1">
      <alignment horizontal="center"/>
      <protection locked="0"/>
    </xf>
    <xf numFmtId="10" fontId="22" fillId="7" borderId="26" xfId="0" applyNumberFormat="1" applyFont="1" applyFill="1" applyBorder="1" applyAlignment="1" applyProtection="1">
      <alignment horizontal="center"/>
      <protection locked="0"/>
    </xf>
    <xf numFmtId="4" fontId="15" fillId="7" borderId="26" xfId="0" applyNumberFormat="1" applyFont="1" applyFill="1" applyBorder="1" applyAlignment="1" applyProtection="1">
      <alignment horizontal="center"/>
      <protection locked="0"/>
    </xf>
    <xf numFmtId="4" fontId="22" fillId="7" borderId="26" xfId="0" applyNumberFormat="1" applyFont="1" applyFill="1" applyBorder="1" applyAlignment="1" applyProtection="1">
      <alignment horizontal="center"/>
      <protection locked="0"/>
    </xf>
    <xf numFmtId="0" fontId="0" fillId="8" borderId="2" xfId="0" applyFill="1" applyBorder="1" applyAlignment="1">
      <alignment wrapText="1"/>
    </xf>
    <xf numFmtId="0" fontId="17" fillId="4" borderId="8" xfId="0" applyFont="1" applyFill="1" applyBorder="1" applyAlignment="1">
      <alignment horizontal="center" vertical="center"/>
    </xf>
    <xf numFmtId="0" fontId="17" fillId="4" borderId="0" xfId="0" applyFont="1" applyFill="1" applyAlignment="1">
      <alignment horizontal="center" vertical="center"/>
    </xf>
    <xf numFmtId="0" fontId="18" fillId="6" borderId="0" xfId="0" applyFont="1" applyFill="1" applyAlignment="1">
      <alignment horizontal="center" vertical="center"/>
    </xf>
    <xf numFmtId="0" fontId="15" fillId="6" borderId="0" xfId="0" applyFont="1" applyFill="1" applyAlignment="1">
      <alignment horizontal="left" vertical="top" wrapText="1"/>
    </xf>
    <xf numFmtId="0" fontId="15" fillId="6" borderId="0" xfId="0" applyFont="1" applyFill="1" applyAlignment="1">
      <alignment horizontal="left" vertical="top"/>
    </xf>
    <xf numFmtId="0" fontId="26" fillId="4" borderId="13" xfId="0" applyFont="1" applyFill="1" applyBorder="1" applyAlignment="1">
      <alignment horizontal="center" vertical="center"/>
    </xf>
    <xf numFmtId="0" fontId="15" fillId="5" borderId="15" xfId="0" applyFont="1" applyFill="1" applyBorder="1" applyAlignment="1">
      <alignment horizontal="left" wrapText="1"/>
    </xf>
    <xf numFmtId="0" fontId="15" fillId="5" borderId="17" xfId="0" applyFont="1" applyFill="1" applyBorder="1" applyAlignment="1">
      <alignment horizontal="left"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18" xfId="0" applyFont="1" applyFill="1" applyBorder="1" applyAlignment="1">
      <alignment horizontal="left" wrapText="1"/>
    </xf>
    <xf numFmtId="0" fontId="15" fillId="5" borderId="20" xfId="0" applyFont="1" applyFill="1" applyBorder="1" applyAlignment="1">
      <alignment horizontal="left" wrapText="1"/>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2"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0" fillId="8" borderId="21" xfId="0" applyFill="1" applyBorder="1" applyAlignment="1" applyProtection="1">
      <alignment horizontal="left"/>
      <protection locked="0"/>
    </xf>
    <xf numFmtId="0" fontId="0" fillId="8" borderId="23"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15" fillId="3" borderId="2" xfId="0" applyFont="1" applyFill="1" applyBorder="1" applyAlignment="1">
      <alignment horizontal="left"/>
    </xf>
    <xf numFmtId="0" fontId="15" fillId="3" borderId="3" xfId="0" applyFont="1" applyFill="1" applyBorder="1" applyAlignment="1">
      <alignment horizontal="left"/>
    </xf>
    <xf numFmtId="0" fontId="15" fillId="3" borderId="4" xfId="0" applyFont="1" applyFill="1" applyBorder="1" applyAlignment="1">
      <alignment horizontal="left"/>
    </xf>
    <xf numFmtId="0" fontId="0" fillId="8" borderId="2" xfId="0" applyFill="1" applyBorder="1" applyAlignment="1">
      <alignment horizontal="center"/>
    </xf>
    <xf numFmtId="0" fontId="0" fillId="8" borderId="4" xfId="0" applyFill="1" applyBorder="1" applyAlignment="1">
      <alignment horizontal="center"/>
    </xf>
    <xf numFmtId="0" fontId="0" fillId="0" borderId="15" xfId="0"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8" borderId="2" xfId="0" applyFill="1" applyBorder="1" applyAlignment="1">
      <alignment horizontal="left"/>
    </xf>
    <xf numFmtId="0" fontId="0" fillId="8" borderId="3" xfId="0" applyFill="1" applyBorder="1" applyAlignment="1">
      <alignment horizontal="left"/>
    </xf>
    <xf numFmtId="0" fontId="0" fillId="8" borderId="4" xfId="0" applyFill="1" applyBorder="1" applyAlignment="1">
      <alignment horizontal="left"/>
    </xf>
    <xf numFmtId="0" fontId="0" fillId="0" borderId="0" xfId="0" applyAlignment="1">
      <alignment horizontal="left"/>
    </xf>
  </cellXfs>
  <cellStyles count="2">
    <cellStyle name="Hyperlink" xfId="1" builtinId="8"/>
    <cellStyle name="Normal" xfId="0" builtinId="0"/>
  </cellStyles>
  <dxfs count="10">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A4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392205</xdr:colOff>
      <xdr:row>2</xdr:row>
      <xdr:rowOff>22412</xdr:rowOff>
    </xdr:from>
    <xdr:to>
      <xdr:col>16</xdr:col>
      <xdr:colOff>201706</xdr:colOff>
      <xdr:row>5</xdr:row>
      <xdr:rowOff>0</xdr:rowOff>
    </xdr:to>
    <xdr:sp macro="[0]!New_mortgage" textlink="">
      <xdr:nvSpPr>
        <xdr:cNvPr id="2" name="Rectangle 1">
          <a:extLst>
            <a:ext uri="{FF2B5EF4-FFF2-40B4-BE49-F238E27FC236}">
              <a16:creationId xmlns:a16="http://schemas.microsoft.com/office/drawing/2014/main" id="{00000000-0008-0000-0300-000002000000}"/>
            </a:ext>
          </a:extLst>
        </xdr:cNvPr>
        <xdr:cNvSpPr/>
      </xdr:nvSpPr>
      <xdr:spPr>
        <a:xfrm>
          <a:off x="13525499" y="381000"/>
          <a:ext cx="2857501" cy="5154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a:t>Add</a:t>
          </a:r>
          <a:r>
            <a:rPr lang="en-GB" sz="2000" baseline="0"/>
            <a:t> new mortgage</a:t>
          </a:r>
          <a:endParaRPr lang="en-GB" sz="2000"/>
        </a:p>
      </xdr:txBody>
    </xdr:sp>
    <xdr:clientData/>
  </xdr:twoCellAnchor>
  <xdr:twoCellAnchor>
    <xdr:from>
      <xdr:col>11</xdr:col>
      <xdr:colOff>405654</xdr:colOff>
      <xdr:row>6</xdr:row>
      <xdr:rowOff>0</xdr:rowOff>
    </xdr:from>
    <xdr:to>
      <xdr:col>16</xdr:col>
      <xdr:colOff>215155</xdr:colOff>
      <xdr:row>8</xdr:row>
      <xdr:rowOff>170329</xdr:rowOff>
    </xdr:to>
    <xdr:sp macro="[0]!Delete_mortgage" textlink="">
      <xdr:nvSpPr>
        <xdr:cNvPr id="3" name="Rectangle 2">
          <a:extLst>
            <a:ext uri="{FF2B5EF4-FFF2-40B4-BE49-F238E27FC236}">
              <a16:creationId xmlns:a16="http://schemas.microsoft.com/office/drawing/2014/main" id="{00000000-0008-0000-0300-000003000000}"/>
            </a:ext>
          </a:extLst>
        </xdr:cNvPr>
        <xdr:cNvSpPr/>
      </xdr:nvSpPr>
      <xdr:spPr>
        <a:xfrm>
          <a:off x="13538948" y="1075765"/>
          <a:ext cx="2857501" cy="528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a:t>Clear extra mortgages</a:t>
          </a:r>
        </a:p>
      </xdr:txBody>
    </xdr:sp>
    <xdr:clientData/>
  </xdr:twoCellAnchor>
  <xdr:twoCellAnchor>
    <xdr:from>
      <xdr:col>11</xdr:col>
      <xdr:colOff>421341</xdr:colOff>
      <xdr:row>10</xdr:row>
      <xdr:rowOff>26894</xdr:rowOff>
    </xdr:from>
    <xdr:to>
      <xdr:col>16</xdr:col>
      <xdr:colOff>230842</xdr:colOff>
      <xdr:row>13</xdr:row>
      <xdr:rowOff>0</xdr:rowOff>
    </xdr:to>
    <xdr:sp macro="[0]!Delete_overrides" textlink="">
      <xdr:nvSpPr>
        <xdr:cNvPr id="4" name="Rectangle 3">
          <a:extLst>
            <a:ext uri="{FF2B5EF4-FFF2-40B4-BE49-F238E27FC236}">
              <a16:creationId xmlns:a16="http://schemas.microsoft.com/office/drawing/2014/main" id="{00000000-0008-0000-0300-000004000000}"/>
            </a:ext>
          </a:extLst>
        </xdr:cNvPr>
        <xdr:cNvSpPr/>
      </xdr:nvSpPr>
      <xdr:spPr>
        <a:xfrm>
          <a:off x="13554635" y="1819835"/>
          <a:ext cx="2857501" cy="5109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a:t>Clear overrides</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e@esbs.co.u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134"/>
  <sheetViews>
    <sheetView tabSelected="1" zoomScale="85" zoomScaleNormal="85" workbookViewId="0">
      <selection activeCell="D19" sqref="D19"/>
    </sheetView>
  </sheetViews>
  <sheetFormatPr defaultColWidth="9.140625" defaultRowHeight="15" x14ac:dyDescent="0.25"/>
  <cols>
    <col min="1" max="2" width="3.7109375" customWidth="1"/>
    <col min="3" max="3" width="58" customWidth="1"/>
    <col min="4" max="4" width="31.42578125" customWidth="1"/>
    <col min="5" max="5" width="5.85546875" customWidth="1"/>
    <col min="6" max="6" width="84.7109375" customWidth="1"/>
    <col min="7" max="7" width="13.42578125" customWidth="1"/>
    <col min="8" max="8" width="12" customWidth="1"/>
    <col min="9" max="10" width="3.7109375" customWidth="1"/>
    <col min="13" max="27" width="9.140625" style="110"/>
  </cols>
  <sheetData>
    <row r="1" spans="1:12" x14ac:dyDescent="0.25">
      <c r="A1" s="110"/>
      <c r="B1" s="110"/>
      <c r="C1" s="110"/>
      <c r="D1" s="110"/>
      <c r="E1" s="110"/>
      <c r="F1" s="110"/>
      <c r="G1" s="110"/>
      <c r="H1" s="110"/>
      <c r="I1" s="110"/>
      <c r="J1" s="110"/>
      <c r="K1" s="110"/>
      <c r="L1" s="110"/>
    </row>
    <row r="2" spans="1:12" ht="18" customHeight="1" x14ac:dyDescent="0.25">
      <c r="A2" s="110"/>
      <c r="B2" s="113"/>
      <c r="C2" s="210" t="s">
        <v>208</v>
      </c>
      <c r="D2" s="210"/>
      <c r="E2" s="210"/>
      <c r="F2" s="210"/>
      <c r="G2" s="210"/>
      <c r="H2" s="126"/>
      <c r="I2" s="114"/>
      <c r="J2" s="110"/>
      <c r="K2" s="110"/>
      <c r="L2" s="110"/>
    </row>
    <row r="3" spans="1:12" ht="18" customHeight="1" x14ac:dyDescent="0.25">
      <c r="A3" s="110"/>
      <c r="B3" s="164"/>
      <c r="C3" s="211"/>
      <c r="D3" s="211"/>
      <c r="E3" s="211"/>
      <c r="F3" s="211"/>
      <c r="G3" s="211"/>
      <c r="H3" s="165"/>
      <c r="I3" s="166"/>
      <c r="J3" s="110"/>
      <c r="K3" s="110"/>
      <c r="L3" s="110"/>
    </row>
    <row r="4" spans="1:12" ht="21" customHeight="1" x14ac:dyDescent="0.25">
      <c r="A4" s="110"/>
      <c r="B4" s="115"/>
      <c r="C4" s="215" t="s">
        <v>171</v>
      </c>
      <c r="D4" s="215"/>
      <c r="E4" s="215"/>
      <c r="F4" s="215"/>
      <c r="G4" s="215"/>
      <c r="H4" s="167"/>
      <c r="I4" s="116"/>
      <c r="J4" s="110"/>
      <c r="K4" s="110"/>
      <c r="L4" s="110"/>
    </row>
    <row r="5" spans="1:12" ht="15" customHeight="1" x14ac:dyDescent="0.25">
      <c r="A5" s="110"/>
      <c r="B5" s="117"/>
      <c r="C5" s="212" t="s">
        <v>146</v>
      </c>
      <c r="D5" s="212"/>
      <c r="E5" s="212"/>
      <c r="F5" s="212"/>
      <c r="G5" s="212"/>
      <c r="H5" s="142"/>
      <c r="I5" s="119"/>
      <c r="J5" s="110"/>
      <c r="K5" s="110"/>
      <c r="L5" s="110"/>
    </row>
    <row r="6" spans="1:12" ht="45" x14ac:dyDescent="0.25">
      <c r="A6" s="110"/>
      <c r="B6" s="117"/>
      <c r="C6" s="127" t="s">
        <v>97</v>
      </c>
      <c r="D6" s="124"/>
      <c r="E6" s="118"/>
      <c r="F6" s="128" t="s">
        <v>204</v>
      </c>
      <c r="G6" s="141" t="s">
        <v>98</v>
      </c>
      <c r="H6" s="143" t="s">
        <v>148</v>
      </c>
      <c r="I6" s="119"/>
      <c r="J6" s="110"/>
      <c r="K6" s="110"/>
      <c r="L6" s="110"/>
    </row>
    <row r="7" spans="1:12" ht="15" customHeight="1" x14ac:dyDescent="0.25">
      <c r="A7" s="110"/>
      <c r="B7" s="117"/>
      <c r="C7" s="129" t="s">
        <v>59</v>
      </c>
      <c r="D7" s="130"/>
      <c r="E7" s="118"/>
      <c r="F7" s="137" t="s">
        <v>226</v>
      </c>
      <c r="G7" s="138"/>
      <c r="H7" s="153" t="s">
        <v>152</v>
      </c>
      <c r="I7" s="119"/>
      <c r="J7" s="110"/>
      <c r="K7" s="110"/>
      <c r="L7" s="110"/>
    </row>
    <row r="8" spans="1:12" x14ac:dyDescent="0.25">
      <c r="A8" s="110"/>
      <c r="B8" s="117"/>
      <c r="C8" s="131" t="s">
        <v>87</v>
      </c>
      <c r="D8" s="132">
        <v>1</v>
      </c>
      <c r="E8" s="111"/>
      <c r="F8" s="137" t="s">
        <v>227</v>
      </c>
      <c r="G8" s="138"/>
      <c r="H8" s="153" t="s">
        <v>152</v>
      </c>
      <c r="I8" s="119"/>
      <c r="J8" s="110"/>
      <c r="K8" s="110"/>
      <c r="L8" s="110"/>
    </row>
    <row r="9" spans="1:12" x14ac:dyDescent="0.25">
      <c r="A9" s="110"/>
      <c r="B9" s="117"/>
      <c r="C9" s="131" t="s">
        <v>96</v>
      </c>
      <c r="D9" s="133">
        <v>0</v>
      </c>
      <c r="E9" s="111"/>
      <c r="F9" s="137" t="s">
        <v>228</v>
      </c>
      <c r="G9" s="138"/>
      <c r="H9" s="153" t="s">
        <v>152</v>
      </c>
      <c r="I9" s="119"/>
      <c r="J9" s="110"/>
      <c r="K9" s="110"/>
      <c r="L9" s="110"/>
    </row>
    <row r="10" spans="1:12" x14ac:dyDescent="0.25">
      <c r="A10" s="110"/>
      <c r="B10" s="117"/>
      <c r="C10" s="131" t="s">
        <v>154</v>
      </c>
      <c r="D10" s="133" t="s">
        <v>156</v>
      </c>
      <c r="E10" s="111"/>
      <c r="F10" s="137" t="s">
        <v>231</v>
      </c>
      <c r="G10" s="138"/>
      <c r="H10" s="153" t="s">
        <v>152</v>
      </c>
      <c r="I10" s="119"/>
      <c r="J10" s="110"/>
      <c r="K10" s="110"/>
      <c r="L10" s="110"/>
    </row>
    <row r="11" spans="1:12" x14ac:dyDescent="0.25">
      <c r="A11" s="110"/>
      <c r="B11" s="117"/>
      <c r="C11" s="131" t="s">
        <v>161</v>
      </c>
      <c r="D11" s="160"/>
      <c r="E11" s="111"/>
      <c r="F11" s="137" t="s">
        <v>104</v>
      </c>
      <c r="G11" s="138"/>
      <c r="H11" s="153" t="s">
        <v>152</v>
      </c>
      <c r="I11" s="119"/>
      <c r="J11" s="110"/>
      <c r="K11" s="110"/>
      <c r="L11" s="110"/>
    </row>
    <row r="12" spans="1:12" x14ac:dyDescent="0.25">
      <c r="A12" s="110"/>
      <c r="B12" s="117"/>
      <c r="C12" s="131" t="s">
        <v>224</v>
      </c>
      <c r="D12" s="160"/>
      <c r="E12" s="111"/>
      <c r="F12" s="137" t="s">
        <v>105</v>
      </c>
      <c r="G12" s="138"/>
      <c r="H12" s="153" t="s">
        <v>152</v>
      </c>
      <c r="I12" s="119"/>
      <c r="J12" s="110"/>
      <c r="K12" s="110"/>
      <c r="L12" s="110"/>
    </row>
    <row r="13" spans="1:12" x14ac:dyDescent="0.25">
      <c r="A13" s="110"/>
      <c r="B13" s="117"/>
      <c r="C13" s="131" t="s">
        <v>225</v>
      </c>
      <c r="D13" s="160"/>
      <c r="E13" s="111"/>
      <c r="F13" s="131" t="s">
        <v>106</v>
      </c>
      <c r="G13" s="139"/>
      <c r="H13" s="153" t="s">
        <v>152</v>
      </c>
      <c r="I13" s="119"/>
      <c r="J13" s="110"/>
      <c r="K13" s="110"/>
      <c r="L13" s="110"/>
    </row>
    <row r="14" spans="1:12" x14ac:dyDescent="0.25">
      <c r="A14" s="110"/>
      <c r="B14" s="117"/>
      <c r="C14" s="131" t="s">
        <v>230</v>
      </c>
      <c r="D14" s="160"/>
      <c r="E14" s="111"/>
      <c r="F14" s="131" t="s">
        <v>107</v>
      </c>
      <c r="G14" s="139"/>
      <c r="H14" s="153" t="s">
        <v>152</v>
      </c>
      <c r="I14" s="119"/>
      <c r="J14" s="110"/>
      <c r="K14" s="110"/>
      <c r="L14" s="110"/>
    </row>
    <row r="15" spans="1:12" x14ac:dyDescent="0.25">
      <c r="A15" s="110"/>
      <c r="B15" s="117"/>
      <c r="C15" s="112" t="s">
        <v>149</v>
      </c>
      <c r="D15" s="161">
        <f>SUM(D11:D14)</f>
        <v>0</v>
      </c>
      <c r="E15" s="111"/>
      <c r="F15" s="131" t="s">
        <v>108</v>
      </c>
      <c r="G15" s="139"/>
      <c r="H15" s="153" t="s">
        <v>152</v>
      </c>
      <c r="I15" s="119"/>
      <c r="J15" s="110"/>
      <c r="K15" s="110"/>
      <c r="L15" s="110"/>
    </row>
    <row r="16" spans="1:12" x14ac:dyDescent="0.25">
      <c r="A16" s="110"/>
      <c r="B16" s="117"/>
      <c r="C16" s="111"/>
      <c r="D16" s="193"/>
      <c r="E16" s="111"/>
      <c r="F16" s="111"/>
      <c r="G16" s="57"/>
      <c r="H16" s="154"/>
      <c r="I16" s="119"/>
      <c r="J16" s="110"/>
      <c r="K16" s="110"/>
      <c r="L16" s="110"/>
    </row>
    <row r="17" spans="1:12" ht="45" x14ac:dyDescent="0.25">
      <c r="A17" s="110"/>
      <c r="B17" s="117"/>
      <c r="C17" s="128" t="s">
        <v>117</v>
      </c>
      <c r="D17" s="112"/>
      <c r="E17" s="111"/>
      <c r="F17" s="128" t="s">
        <v>205</v>
      </c>
      <c r="G17" s="141" t="s">
        <v>98</v>
      </c>
      <c r="H17" s="143" t="s">
        <v>148</v>
      </c>
      <c r="I17" s="119"/>
      <c r="J17" s="110"/>
      <c r="K17" s="110"/>
      <c r="L17" s="110"/>
    </row>
    <row r="18" spans="1:12" x14ac:dyDescent="0.25">
      <c r="A18" s="110"/>
      <c r="B18" s="117"/>
      <c r="C18" s="134" t="s">
        <v>100</v>
      </c>
      <c r="D18" s="135" t="s">
        <v>93</v>
      </c>
      <c r="E18" s="111"/>
      <c r="F18" s="128" t="s">
        <v>202</v>
      </c>
      <c r="G18" s="148"/>
      <c r="H18" s="155"/>
      <c r="I18" s="119"/>
      <c r="J18" s="110"/>
      <c r="K18" s="110"/>
      <c r="L18" s="110"/>
    </row>
    <row r="19" spans="1:12" x14ac:dyDescent="0.25">
      <c r="A19" s="110"/>
      <c r="B19" s="117"/>
      <c r="C19" s="131" t="s">
        <v>101</v>
      </c>
      <c r="D19" s="133" t="s">
        <v>120</v>
      </c>
      <c r="E19" s="111"/>
      <c r="F19" s="134" t="s">
        <v>203</v>
      </c>
      <c r="G19" s="138"/>
      <c r="H19" s="153" t="s">
        <v>152</v>
      </c>
      <c r="I19" s="119"/>
      <c r="J19" s="110"/>
      <c r="K19" s="110"/>
      <c r="L19" s="110"/>
    </row>
    <row r="20" spans="1:12" x14ac:dyDescent="0.25">
      <c r="A20" s="110"/>
      <c r="B20" s="117"/>
      <c r="C20" s="131" t="s">
        <v>192</v>
      </c>
      <c r="D20" s="133"/>
      <c r="E20" s="111"/>
      <c r="F20" s="131" t="s">
        <v>206</v>
      </c>
      <c r="G20" s="139"/>
      <c r="H20" s="153" t="s">
        <v>152</v>
      </c>
      <c r="I20" s="119"/>
      <c r="J20" s="110"/>
      <c r="K20" s="110"/>
      <c r="L20" s="110"/>
    </row>
    <row r="21" spans="1:12" x14ac:dyDescent="0.25">
      <c r="A21" s="110"/>
      <c r="B21" s="117"/>
      <c r="C21" s="112" t="s">
        <v>118</v>
      </c>
      <c r="D21" s="56">
        <f>VLOOKUP(D19,'Mortgage products'!$B$5:$D$15,2,FALSE)</f>
        <v>8.3900000000000002E-2</v>
      </c>
      <c r="E21" s="111"/>
      <c r="F21" s="131" t="s">
        <v>209</v>
      </c>
      <c r="G21" s="139"/>
      <c r="H21" s="153" t="s">
        <v>152</v>
      </c>
      <c r="I21" s="119"/>
      <c r="J21" s="110"/>
      <c r="K21" s="110"/>
      <c r="L21" s="110"/>
    </row>
    <row r="22" spans="1:12" x14ac:dyDescent="0.25">
      <c r="A22" s="110"/>
      <c r="B22" s="117"/>
      <c r="C22" s="112" t="s">
        <v>190</v>
      </c>
      <c r="D22" s="177" t="str">
        <f>IF(D20=0,"Please enter property value",IF(D18="Combined",(D26+D31+D34+D39)/D20,IF(D18="Interest Only",(D31+D39)/D20,(D26+D34)/D20)))</f>
        <v>Please enter property value</v>
      </c>
      <c r="E22" s="111"/>
      <c r="F22" s="131" t="s">
        <v>207</v>
      </c>
      <c r="G22" s="139"/>
      <c r="H22" s="153" t="s">
        <v>152</v>
      </c>
      <c r="I22" s="119"/>
      <c r="J22" s="110"/>
      <c r="K22" s="110"/>
      <c r="L22" s="110"/>
    </row>
    <row r="23" spans="1:12" x14ac:dyDescent="0.25">
      <c r="A23" s="110"/>
      <c r="B23" s="117"/>
      <c r="C23" s="112" t="s">
        <v>122</v>
      </c>
      <c r="D23" s="173">
        <f>IF(D10=Statics!$J$3,MIN(80%,VLOOKUP(D19,'Mortgage products'!$B$5:$D$15,3,FALSE)),IF((D34+D39)&gt;0,"Varies",VLOOKUP(D19,'Mortgage products'!$B$5:$D$15,3,FALSE)))</f>
        <v>0.9</v>
      </c>
      <c r="E23" s="111"/>
      <c r="F23" s="131" t="s">
        <v>109</v>
      </c>
      <c r="G23" s="139"/>
      <c r="H23" s="153" t="s">
        <v>152</v>
      </c>
      <c r="I23" s="119"/>
      <c r="J23" s="110"/>
      <c r="K23" s="110"/>
      <c r="L23" s="110"/>
    </row>
    <row r="24" spans="1:12" x14ac:dyDescent="0.25">
      <c r="A24" s="110"/>
      <c r="B24" s="117"/>
      <c r="C24" s="111"/>
      <c r="D24" s="111"/>
      <c r="E24" s="111"/>
      <c r="F24" s="140" t="s">
        <v>19</v>
      </c>
      <c r="G24" s="149"/>
      <c r="H24" s="156"/>
      <c r="I24" s="119"/>
      <c r="J24" s="110"/>
      <c r="K24" s="110"/>
      <c r="L24" s="110"/>
    </row>
    <row r="25" spans="1:12" x14ac:dyDescent="0.25">
      <c r="A25" s="110"/>
      <c r="B25" s="117"/>
      <c r="C25" s="128" t="s">
        <v>91</v>
      </c>
      <c r="D25" s="112"/>
      <c r="E25" s="111"/>
      <c r="F25" s="134" t="s">
        <v>116</v>
      </c>
      <c r="G25" s="138"/>
      <c r="H25" s="153" t="s">
        <v>152</v>
      </c>
      <c r="I25" s="119"/>
      <c r="J25" s="110"/>
      <c r="K25" s="110"/>
      <c r="L25" s="110"/>
    </row>
    <row r="26" spans="1:12" x14ac:dyDescent="0.25">
      <c r="A26" s="110"/>
      <c r="B26" s="117"/>
      <c r="C26" s="134" t="s">
        <v>147</v>
      </c>
      <c r="D26" s="138"/>
      <c r="E26" s="111"/>
      <c r="F26" s="131" t="s">
        <v>58</v>
      </c>
      <c r="G26" s="139"/>
      <c r="H26" s="153" t="s">
        <v>152</v>
      </c>
      <c r="I26" s="119"/>
      <c r="J26" s="110"/>
      <c r="K26" s="110"/>
      <c r="L26" s="110"/>
    </row>
    <row r="27" spans="1:12" x14ac:dyDescent="0.25">
      <c r="A27" s="110"/>
      <c r="B27" s="117"/>
      <c r="C27" s="131" t="s">
        <v>47</v>
      </c>
      <c r="D27" s="132"/>
      <c r="E27" s="111"/>
      <c r="F27" s="131" t="s">
        <v>72</v>
      </c>
      <c r="G27" s="139"/>
      <c r="H27" s="153" t="s">
        <v>152</v>
      </c>
      <c r="I27" s="119"/>
      <c r="J27" s="110"/>
      <c r="K27" s="110"/>
      <c r="L27" s="110"/>
    </row>
    <row r="28" spans="1:12" x14ac:dyDescent="0.25">
      <c r="A28" s="110"/>
      <c r="B28" s="117"/>
      <c r="C28" s="131" t="s">
        <v>90</v>
      </c>
      <c r="D28" s="132"/>
      <c r="E28" s="111"/>
      <c r="F28" s="131" t="s">
        <v>73</v>
      </c>
      <c r="G28" s="139"/>
      <c r="H28" s="153" t="s">
        <v>152</v>
      </c>
      <c r="I28" s="119"/>
      <c r="J28" s="110"/>
      <c r="K28" s="110"/>
      <c r="L28" s="110"/>
    </row>
    <row r="29" spans="1:12" x14ac:dyDescent="0.25">
      <c r="A29" s="110"/>
      <c r="B29" s="117"/>
      <c r="C29" s="111"/>
      <c r="D29" s="111"/>
      <c r="E29" s="111"/>
      <c r="F29" s="131" t="s">
        <v>74</v>
      </c>
      <c r="G29" s="139"/>
      <c r="H29" s="153" t="s">
        <v>152</v>
      </c>
      <c r="I29" s="119"/>
      <c r="J29" s="110"/>
      <c r="K29" s="110"/>
      <c r="L29" s="110"/>
    </row>
    <row r="30" spans="1:12" x14ac:dyDescent="0.25">
      <c r="A30" s="110"/>
      <c r="B30" s="117"/>
      <c r="C30" s="128" t="s">
        <v>92</v>
      </c>
      <c r="D30" s="112"/>
      <c r="E30" s="111"/>
      <c r="F30" s="131" t="s">
        <v>110</v>
      </c>
      <c r="G30" s="139"/>
      <c r="H30" s="153" t="s">
        <v>152</v>
      </c>
      <c r="I30" s="119"/>
      <c r="J30" s="110"/>
      <c r="K30" s="110"/>
      <c r="L30" s="110"/>
    </row>
    <row r="31" spans="1:12" x14ac:dyDescent="0.25">
      <c r="A31" s="110"/>
      <c r="B31" s="117"/>
      <c r="C31" s="134" t="s">
        <v>147</v>
      </c>
      <c r="D31" s="136"/>
      <c r="E31" s="111"/>
      <c r="F31" s="131" t="s">
        <v>111</v>
      </c>
      <c r="G31" s="139"/>
      <c r="H31" s="153" t="s">
        <v>152</v>
      </c>
      <c r="I31" s="119"/>
      <c r="J31" s="110"/>
      <c r="K31" s="110"/>
      <c r="L31" s="110"/>
    </row>
    <row r="32" spans="1:12" x14ac:dyDescent="0.25">
      <c r="A32" s="110"/>
      <c r="B32" s="117"/>
      <c r="C32" s="111"/>
      <c r="D32" s="194"/>
      <c r="E32" s="111"/>
      <c r="F32" s="131" t="s">
        <v>112</v>
      </c>
      <c r="G32" s="139"/>
      <c r="H32" s="153" t="s">
        <v>152</v>
      </c>
      <c r="I32" s="119"/>
      <c r="J32" s="110"/>
      <c r="K32" s="110"/>
      <c r="L32" s="110"/>
    </row>
    <row r="33" spans="1:12" x14ac:dyDescent="0.25">
      <c r="A33" s="110"/>
      <c r="B33" s="117"/>
      <c r="C33" s="128" t="s">
        <v>165</v>
      </c>
      <c r="D33" s="112"/>
      <c r="E33" s="111"/>
      <c r="F33" s="140" t="s">
        <v>26</v>
      </c>
      <c r="G33" s="149"/>
      <c r="H33" s="156"/>
      <c r="I33" s="119"/>
      <c r="J33" s="110"/>
      <c r="K33" s="110"/>
      <c r="L33" s="110"/>
    </row>
    <row r="34" spans="1:12" x14ac:dyDescent="0.25">
      <c r="A34" s="110"/>
      <c r="B34" s="117"/>
      <c r="C34" s="134" t="s">
        <v>147</v>
      </c>
      <c r="D34" s="136"/>
      <c r="E34" s="111"/>
      <c r="F34" s="134" t="s">
        <v>79</v>
      </c>
      <c r="G34" s="138"/>
      <c r="H34" s="153" t="s">
        <v>152</v>
      </c>
      <c r="I34" s="119"/>
      <c r="J34" s="110"/>
      <c r="K34" s="110"/>
      <c r="L34" s="110"/>
    </row>
    <row r="35" spans="1:12" x14ac:dyDescent="0.25">
      <c r="A35" s="110"/>
      <c r="B35" s="117"/>
      <c r="C35" s="134" t="s">
        <v>47</v>
      </c>
      <c r="D35" s="138"/>
      <c r="E35" s="111"/>
      <c r="F35" s="131" t="s">
        <v>113</v>
      </c>
      <c r="G35" s="139"/>
      <c r="H35" s="153" t="s">
        <v>152</v>
      </c>
      <c r="I35" s="119"/>
      <c r="J35" s="110"/>
      <c r="K35" s="110"/>
      <c r="L35" s="110"/>
    </row>
    <row r="36" spans="1:12" x14ac:dyDescent="0.25">
      <c r="A36" s="110"/>
      <c r="B36" s="117"/>
      <c r="C36" s="134" t="s">
        <v>90</v>
      </c>
      <c r="D36" s="138"/>
      <c r="E36" s="111"/>
      <c r="F36" s="131" t="s">
        <v>114</v>
      </c>
      <c r="G36" s="139"/>
      <c r="H36" s="153" t="s">
        <v>152</v>
      </c>
      <c r="I36" s="119"/>
      <c r="J36" s="110"/>
      <c r="K36" s="110"/>
      <c r="L36" s="110"/>
    </row>
    <row r="37" spans="1:12" x14ac:dyDescent="0.25">
      <c r="A37" s="110"/>
      <c r="B37" s="117"/>
      <c r="C37" s="111"/>
      <c r="D37" s="111"/>
      <c r="E37" s="111"/>
      <c r="F37" s="131" t="s">
        <v>82</v>
      </c>
      <c r="G37" s="139"/>
      <c r="H37" s="153" t="s">
        <v>152</v>
      </c>
      <c r="I37" s="119"/>
      <c r="J37" s="110"/>
      <c r="K37" s="110"/>
      <c r="L37" s="110"/>
    </row>
    <row r="38" spans="1:12" x14ac:dyDescent="0.25">
      <c r="A38" s="110"/>
      <c r="B38" s="117"/>
      <c r="C38" s="128" t="s">
        <v>164</v>
      </c>
      <c r="D38" s="112"/>
      <c r="E38" s="111"/>
      <c r="F38" s="131" t="s">
        <v>115</v>
      </c>
      <c r="G38" s="139"/>
      <c r="H38" s="153" t="s">
        <v>152</v>
      </c>
      <c r="I38" s="119"/>
      <c r="J38" s="110"/>
      <c r="K38" s="110"/>
      <c r="L38" s="110"/>
    </row>
    <row r="39" spans="1:12" x14ac:dyDescent="0.25">
      <c r="A39" s="110"/>
      <c r="B39" s="117"/>
      <c r="C39" s="134" t="s">
        <v>147</v>
      </c>
      <c r="D39" s="136"/>
      <c r="E39" s="111"/>
      <c r="F39" s="131" t="s">
        <v>29</v>
      </c>
      <c r="G39" s="139"/>
      <c r="H39" s="153" t="s">
        <v>152</v>
      </c>
      <c r="I39" s="119"/>
      <c r="J39" s="110"/>
      <c r="K39" s="110"/>
      <c r="L39" s="110"/>
    </row>
    <row r="40" spans="1:12" x14ac:dyDescent="0.25">
      <c r="A40" s="110"/>
      <c r="B40" s="117"/>
      <c r="C40" s="111"/>
      <c r="D40" s="111"/>
      <c r="E40" s="111"/>
      <c r="F40" s="111"/>
      <c r="G40" s="120"/>
      <c r="H40" s="120"/>
      <c r="I40" s="119"/>
      <c r="J40" s="110"/>
      <c r="K40" s="110"/>
      <c r="L40" s="110"/>
    </row>
    <row r="41" spans="1:12" ht="18.75" x14ac:dyDescent="0.3">
      <c r="A41" s="110"/>
      <c r="B41" s="117"/>
      <c r="C41" s="125" t="s">
        <v>95</v>
      </c>
      <c r="D41" s="58" t="str">
        <f>IF(D22&gt;D23,"REFER",IF(G68&gt;D43,"REFER",IF(LTI!C5&gt;4.49,"REFER",IF(ISERROR(AID!D115),"REFER",IF(AID!D115&gt;10,"PASS","REFER")))))</f>
        <v>REFER</v>
      </c>
      <c r="E41" s="111"/>
      <c r="F41" s="213" t="s">
        <v>170</v>
      </c>
      <c r="G41" s="214"/>
      <c r="H41" s="214"/>
      <c r="I41" s="119"/>
      <c r="J41" s="110"/>
      <c r="K41" s="110"/>
      <c r="L41" s="110"/>
    </row>
    <row r="42" spans="1:12" x14ac:dyDescent="0.25">
      <c r="A42" s="110"/>
      <c r="B42" s="117"/>
      <c r="C42" s="111"/>
      <c r="D42" s="111"/>
      <c r="E42" s="111"/>
      <c r="F42" s="214"/>
      <c r="G42" s="214"/>
      <c r="H42" s="214"/>
      <c r="I42" s="119"/>
      <c r="J42" s="110"/>
      <c r="K42" s="110"/>
      <c r="L42" s="110"/>
    </row>
    <row r="43" spans="1:12" ht="18.75" x14ac:dyDescent="0.3">
      <c r="A43" s="110"/>
      <c r="B43" s="117"/>
      <c r="C43" s="125" t="s">
        <v>201</v>
      </c>
      <c r="D43" s="185">
        <f>MIN(D60:D63)</f>
        <v>0</v>
      </c>
      <c r="E43" s="111"/>
      <c r="F43" s="214"/>
      <c r="G43" s="214"/>
      <c r="H43" s="214"/>
      <c r="I43" s="119"/>
      <c r="J43" s="110"/>
      <c r="K43" s="110"/>
      <c r="L43" s="110"/>
    </row>
    <row r="44" spans="1:12" x14ac:dyDescent="0.25">
      <c r="A44" s="110"/>
      <c r="B44" s="117"/>
      <c r="C44" s="186" t="s">
        <v>211</v>
      </c>
      <c r="D44" s="187" t="str">
        <f>IF(AND(D60&lt;D61,D60&lt;D62,D60&lt;D63),C60,IF(AND(D61&lt;D60,D61&lt;D62,D61&lt;D63),C61,IF(AND(D63&lt;D60,D63&lt;D61,D63&lt;D62),C63,C62)))</f>
        <v>LTV</v>
      </c>
      <c r="E44" s="111"/>
      <c r="F44" s="214"/>
      <c r="G44" s="214"/>
      <c r="H44" s="214"/>
      <c r="I44" s="119"/>
      <c r="J44" s="110"/>
      <c r="K44" s="110"/>
      <c r="L44" s="110"/>
    </row>
    <row r="45" spans="1:12" ht="15.75" thickBot="1" x14ac:dyDescent="0.3">
      <c r="A45" s="110"/>
      <c r="B45" s="117"/>
      <c r="C45" s="111"/>
      <c r="D45" s="111"/>
      <c r="E45" s="111"/>
      <c r="F45" s="214"/>
      <c r="G45" s="214"/>
      <c r="H45" s="214"/>
      <c r="I45" s="119"/>
      <c r="J45" s="110"/>
      <c r="K45" s="110"/>
      <c r="L45" s="110"/>
    </row>
    <row r="46" spans="1:12" ht="14.45" customHeight="1" x14ac:dyDescent="0.25">
      <c r="A46" s="110"/>
      <c r="B46" s="117"/>
      <c r="C46" s="216" t="s">
        <v>215</v>
      </c>
      <c r="D46" s="217"/>
      <c r="E46" s="111"/>
      <c r="F46" s="214"/>
      <c r="G46" s="214"/>
      <c r="H46" s="214"/>
      <c r="I46" s="119"/>
      <c r="J46" s="110"/>
      <c r="K46" s="110"/>
      <c r="L46" s="110"/>
    </row>
    <row r="47" spans="1:12" x14ac:dyDescent="0.25">
      <c r="A47" s="110"/>
      <c r="B47" s="117"/>
      <c r="C47" s="218"/>
      <c r="D47" s="219"/>
      <c r="E47" s="111"/>
      <c r="F47" s="214"/>
      <c r="G47" s="214"/>
      <c r="H47" s="214"/>
      <c r="I47" s="119"/>
      <c r="J47" s="110"/>
      <c r="K47" s="110"/>
      <c r="L47" s="110"/>
    </row>
    <row r="48" spans="1:12" x14ac:dyDescent="0.25">
      <c r="A48" s="110"/>
      <c r="B48" s="117"/>
      <c r="C48" s="218"/>
      <c r="D48" s="219"/>
      <c r="E48" s="111"/>
      <c r="F48" s="214"/>
      <c r="G48" s="214"/>
      <c r="H48" s="214"/>
      <c r="I48" s="119"/>
      <c r="J48" s="110"/>
      <c r="K48" s="110"/>
      <c r="L48" s="110"/>
    </row>
    <row r="49" spans="1:27" ht="15.75" thickBot="1" x14ac:dyDescent="0.3">
      <c r="A49" s="110"/>
      <c r="B49" s="117"/>
      <c r="C49" s="220"/>
      <c r="D49" s="221"/>
      <c r="E49" s="111"/>
      <c r="F49" s="214"/>
      <c r="G49" s="214"/>
      <c r="H49" s="214"/>
      <c r="I49" s="119"/>
      <c r="J49" s="110"/>
      <c r="K49" s="110"/>
      <c r="L49" s="110"/>
    </row>
    <row r="50" spans="1:27" x14ac:dyDescent="0.25">
      <c r="A50" s="110"/>
      <c r="B50" s="117"/>
      <c r="C50" s="111"/>
      <c r="D50" s="111"/>
      <c r="E50" s="111"/>
      <c r="F50" s="214"/>
      <c r="G50" s="214"/>
      <c r="H50" s="214"/>
      <c r="I50" s="119"/>
      <c r="J50" s="110"/>
      <c r="K50" s="110"/>
      <c r="L50" s="110"/>
    </row>
    <row r="51" spans="1:27" x14ac:dyDescent="0.25">
      <c r="A51" s="110"/>
      <c r="B51" s="117"/>
      <c r="C51" s="111"/>
      <c r="D51" s="111"/>
      <c r="E51" s="111"/>
      <c r="F51" s="214"/>
      <c r="G51" s="214"/>
      <c r="H51" s="214"/>
      <c r="I51" s="119"/>
      <c r="J51" s="110"/>
      <c r="K51" s="110"/>
      <c r="L51" s="110"/>
    </row>
    <row r="52" spans="1:27" ht="12" customHeight="1" x14ac:dyDescent="0.25">
      <c r="A52" s="110"/>
      <c r="B52" s="117"/>
      <c r="C52" s="111"/>
      <c r="D52" s="111"/>
      <c r="E52" s="111"/>
      <c r="F52" s="214"/>
      <c r="G52" s="214"/>
      <c r="H52" s="214"/>
      <c r="I52" s="119"/>
      <c r="J52" s="110"/>
      <c r="K52" s="110"/>
      <c r="L52" s="110"/>
    </row>
    <row r="53" spans="1:27" x14ac:dyDescent="0.25">
      <c r="A53" s="110"/>
      <c r="B53" s="117"/>
      <c r="C53" s="111"/>
      <c r="D53" s="111"/>
      <c r="E53" s="111"/>
      <c r="F53" s="214"/>
      <c r="G53" s="214"/>
      <c r="H53" s="214"/>
      <c r="I53" s="119"/>
      <c r="J53" s="110"/>
      <c r="K53" s="110"/>
      <c r="L53" s="110"/>
    </row>
    <row r="54" spans="1:27" x14ac:dyDescent="0.25">
      <c r="A54" s="110"/>
      <c r="B54" s="117"/>
      <c r="C54" s="111"/>
      <c r="D54" s="111"/>
      <c r="E54" s="111"/>
      <c r="F54" s="214"/>
      <c r="G54" s="214"/>
      <c r="H54" s="214"/>
      <c r="I54" s="119"/>
      <c r="J54" s="110"/>
      <c r="K54" s="110"/>
      <c r="L54" s="110"/>
    </row>
    <row r="55" spans="1:27" x14ac:dyDescent="0.25">
      <c r="A55" s="110"/>
      <c r="B55" s="117"/>
      <c r="C55" s="111"/>
      <c r="D55" s="111"/>
      <c r="E55" s="111"/>
      <c r="F55" s="163" t="s">
        <v>240</v>
      </c>
      <c r="G55" s="162"/>
      <c r="H55" s="162"/>
      <c r="I55" s="119"/>
      <c r="J55" s="110"/>
      <c r="K55" s="110"/>
      <c r="L55" s="110"/>
    </row>
    <row r="56" spans="1:27" x14ac:dyDescent="0.25">
      <c r="A56" s="110"/>
      <c r="B56" s="117"/>
      <c r="C56" s="111"/>
      <c r="D56" s="111"/>
      <c r="E56" s="111"/>
      <c r="F56" s="163"/>
      <c r="G56" s="162"/>
      <c r="H56" s="162"/>
      <c r="I56" s="119"/>
      <c r="J56" s="110"/>
      <c r="K56" s="110"/>
      <c r="L56" s="110"/>
    </row>
    <row r="57" spans="1:27" x14ac:dyDescent="0.25">
      <c r="A57" s="110"/>
      <c r="B57" s="117"/>
      <c r="C57" s="172" t="s">
        <v>172</v>
      </c>
      <c r="D57" s="172"/>
      <c r="E57" s="172"/>
      <c r="F57" s="172"/>
      <c r="G57" s="172"/>
      <c r="H57" s="172"/>
      <c r="I57" s="119"/>
      <c r="J57" s="110"/>
      <c r="K57" s="110"/>
      <c r="L57" s="110"/>
    </row>
    <row r="58" spans="1:27" x14ac:dyDescent="0.25">
      <c r="A58" s="110"/>
      <c r="B58" s="121"/>
      <c r="C58" s="122"/>
      <c r="D58" s="122"/>
      <c r="E58" s="122"/>
      <c r="F58" s="122"/>
      <c r="G58" s="122"/>
      <c r="H58" s="122"/>
      <c r="I58" s="123"/>
      <c r="J58" s="110"/>
      <c r="K58" s="110"/>
      <c r="L58" s="110"/>
    </row>
    <row r="59" spans="1:27" s="189" customFormat="1" x14ac:dyDescent="0.25">
      <c r="A59" s="188"/>
      <c r="B59" s="110"/>
      <c r="C59" s="159" t="s">
        <v>260</v>
      </c>
      <c r="D59" s="110"/>
      <c r="E59" s="110"/>
      <c r="F59" s="110"/>
      <c r="G59" s="110"/>
      <c r="H59" s="110"/>
      <c r="I59" s="110"/>
      <c r="J59" s="188"/>
      <c r="K59" s="188"/>
      <c r="L59" s="188"/>
      <c r="M59" s="188"/>
      <c r="N59" s="188"/>
      <c r="O59" s="188"/>
      <c r="P59" s="188"/>
      <c r="Q59" s="188"/>
      <c r="R59" s="188"/>
      <c r="S59" s="188"/>
      <c r="T59" s="188"/>
      <c r="U59" s="188"/>
      <c r="V59" s="188"/>
      <c r="W59" s="188"/>
      <c r="X59" s="188"/>
      <c r="Y59" s="188"/>
      <c r="Z59" s="188"/>
      <c r="AA59" s="188"/>
    </row>
    <row r="60" spans="1:27" s="59" customFormat="1" x14ac:dyDescent="0.25">
      <c r="A60" s="190"/>
      <c r="B60" s="190"/>
      <c r="C60" s="190" t="s">
        <v>159</v>
      </c>
      <c r="D60" s="190">
        <f>IF(ISERROR(ROUNDDOWN(D15*4.49,-2)),0,ROUNDDOWN(D15*4.49,-2))</f>
        <v>0</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row>
    <row r="61" spans="1:27" s="59" customFormat="1" x14ac:dyDescent="0.25">
      <c r="A61" s="190"/>
      <c r="B61" s="190"/>
      <c r="C61" s="190" t="s">
        <v>213</v>
      </c>
      <c r="D61" s="190">
        <f>IF(AID!D28=0,0,IF(ISERROR(ROUNDDOWN((1+(((AID!D115-10)/100)*AID!D28)/'Repayment Calculator'!J46)*('Repayment Calculator'!J3+'Repayment Calculator'!J11+'Repayment Calculator'!J17+'Repayment Calculator'!J25+'Repayment Calculator'!J31+'Repayment Calculator'!J40),-2)),0,ROUNDDOWN((1+(((AID!D115-10)/100)*AID!D28)/'Repayment Calculator'!J46)*('Repayment Calculator'!J3+'Repayment Calculator'!J11+'Repayment Calculator'!J17+'Repayment Calculator'!J25+'Repayment Calculator'!J31+'Repayment Calculator'!J40),-2)))</f>
        <v>0</v>
      </c>
      <c r="E61" s="190"/>
      <c r="F61" s="190"/>
      <c r="G61" s="190"/>
      <c r="H61" s="190"/>
      <c r="I61" s="190"/>
      <c r="J61" s="190"/>
      <c r="K61" s="190"/>
      <c r="L61" s="190"/>
      <c r="M61" s="190"/>
      <c r="N61" s="190"/>
      <c r="O61" s="190"/>
      <c r="P61" s="190"/>
      <c r="Q61" s="190"/>
      <c r="R61" s="190"/>
      <c r="S61" s="190"/>
      <c r="T61" s="190"/>
      <c r="U61" s="190"/>
      <c r="V61" s="190"/>
      <c r="W61" s="190"/>
      <c r="X61" s="190"/>
      <c r="Y61" s="190"/>
      <c r="Z61" s="190"/>
      <c r="AA61" s="190"/>
    </row>
    <row r="62" spans="1:27" s="59" customFormat="1" x14ac:dyDescent="0.25">
      <c r="A62" s="190"/>
      <c r="B62" s="190"/>
      <c r="C62" s="190" t="s">
        <v>214</v>
      </c>
      <c r="D62" s="190">
        <f>IF(ISERROR((D20*D23)),0,(D20*D23))</f>
        <v>0</v>
      </c>
      <c r="E62" s="190"/>
      <c r="F62" s="190"/>
      <c r="G62" s="190"/>
      <c r="H62" s="190"/>
      <c r="I62" s="190"/>
      <c r="J62" s="190"/>
      <c r="K62" s="190"/>
      <c r="L62" s="190"/>
      <c r="M62" s="190"/>
      <c r="N62" s="190"/>
      <c r="O62" s="190"/>
      <c r="P62" s="190"/>
      <c r="Q62" s="190"/>
      <c r="R62" s="190"/>
      <c r="S62" s="190"/>
      <c r="T62" s="190"/>
      <c r="U62" s="190"/>
      <c r="V62" s="190"/>
      <c r="W62" s="190"/>
      <c r="X62" s="190"/>
      <c r="Y62" s="190"/>
      <c r="Z62" s="190"/>
      <c r="AA62" s="190"/>
    </row>
    <row r="63" spans="1:27" s="59" customFormat="1" x14ac:dyDescent="0.25">
      <c r="A63" s="190"/>
      <c r="B63" s="190"/>
      <c r="C63" s="191" t="s">
        <v>217</v>
      </c>
      <c r="D63" s="190">
        <f>MAX(G63:G67)</f>
        <v>0</v>
      </c>
      <c r="E63" s="190"/>
      <c r="F63" s="190" t="s">
        <v>218</v>
      </c>
      <c r="G63" s="190">
        <f>MIN($D$20*0.95,250000)</f>
        <v>0</v>
      </c>
      <c r="H63" s="190"/>
      <c r="I63" s="190"/>
      <c r="J63" s="190"/>
      <c r="K63" s="190"/>
      <c r="L63" s="190"/>
      <c r="M63" s="190"/>
      <c r="N63" s="190"/>
      <c r="O63" s="190"/>
      <c r="P63" s="190"/>
      <c r="Q63" s="190"/>
      <c r="R63" s="190"/>
      <c r="S63" s="190"/>
      <c r="T63" s="190"/>
      <c r="U63" s="190"/>
      <c r="V63" s="190"/>
      <c r="W63" s="190"/>
      <c r="X63" s="190"/>
      <c r="Y63" s="190"/>
      <c r="Z63" s="190"/>
      <c r="AA63" s="190"/>
    </row>
    <row r="64" spans="1:27" s="59" customFormat="1" x14ac:dyDescent="0.25">
      <c r="A64" s="190"/>
      <c r="B64" s="190"/>
      <c r="C64" s="190"/>
      <c r="D64" s="190"/>
      <c r="E64" s="190"/>
      <c r="F64" s="190" t="s">
        <v>219</v>
      </c>
      <c r="G64" s="190">
        <f>MIN($D$20*0.9,400000)</f>
        <v>0</v>
      </c>
      <c r="H64" s="190"/>
      <c r="I64" s="190"/>
      <c r="J64" s="190"/>
      <c r="K64" s="190"/>
      <c r="L64" s="190"/>
      <c r="M64" s="190"/>
      <c r="N64" s="190"/>
      <c r="O64" s="190"/>
      <c r="P64" s="190"/>
      <c r="Q64" s="190"/>
      <c r="R64" s="190"/>
      <c r="S64" s="190"/>
      <c r="T64" s="190"/>
      <c r="U64" s="190"/>
      <c r="V64" s="190"/>
      <c r="W64" s="190"/>
      <c r="X64" s="190"/>
      <c r="Y64" s="190"/>
      <c r="Z64" s="190"/>
      <c r="AA64" s="190"/>
    </row>
    <row r="65" spans="1:27" s="59" customFormat="1" x14ac:dyDescent="0.25">
      <c r="A65" s="190"/>
      <c r="B65" s="190"/>
      <c r="C65" s="190"/>
      <c r="D65" s="190"/>
      <c r="E65" s="190"/>
      <c r="F65" s="190" t="s">
        <v>220</v>
      </c>
      <c r="G65" s="190">
        <f>MIN($D$20*0.85,500000)</f>
        <v>0</v>
      </c>
      <c r="H65" s="190"/>
      <c r="I65" s="190"/>
      <c r="J65" s="190"/>
      <c r="K65" s="190"/>
      <c r="L65" s="190"/>
      <c r="M65" s="190"/>
      <c r="N65" s="190"/>
      <c r="O65" s="190"/>
      <c r="P65" s="190"/>
      <c r="Q65" s="190"/>
      <c r="R65" s="190"/>
      <c r="S65" s="190"/>
      <c r="T65" s="190"/>
      <c r="U65" s="190"/>
      <c r="V65" s="190"/>
      <c r="W65" s="190"/>
      <c r="X65" s="190"/>
      <c r="Y65" s="190"/>
      <c r="Z65" s="190"/>
      <c r="AA65" s="190"/>
    </row>
    <row r="66" spans="1:27" s="59" customFormat="1" x14ac:dyDescent="0.25">
      <c r="A66" s="190"/>
      <c r="B66" s="190"/>
      <c r="C66" s="190"/>
      <c r="D66" s="190"/>
      <c r="E66" s="190"/>
      <c r="F66" s="190" t="s">
        <v>222</v>
      </c>
      <c r="G66" s="190">
        <f>MIN($D$20*0.8,600000)</f>
        <v>0</v>
      </c>
      <c r="H66" s="190"/>
      <c r="I66" s="190"/>
      <c r="J66" s="190"/>
      <c r="K66" s="190"/>
      <c r="L66" s="190"/>
      <c r="M66" s="190"/>
      <c r="N66" s="190"/>
      <c r="O66" s="190"/>
      <c r="P66" s="190"/>
      <c r="Q66" s="190"/>
      <c r="R66" s="190"/>
      <c r="S66" s="190"/>
      <c r="T66" s="190"/>
      <c r="U66" s="190"/>
      <c r="V66" s="190"/>
      <c r="W66" s="190"/>
      <c r="X66" s="190"/>
      <c r="Y66" s="190"/>
      <c r="Z66" s="190"/>
      <c r="AA66" s="190"/>
    </row>
    <row r="67" spans="1:27" s="59" customFormat="1" x14ac:dyDescent="0.25">
      <c r="A67" s="190"/>
      <c r="B67" s="190"/>
      <c r="C67" s="190"/>
      <c r="D67" s="190"/>
      <c r="E67" s="190"/>
      <c r="F67" s="190" t="s">
        <v>221</v>
      </c>
      <c r="G67" s="190">
        <f>MIN($D$20*0.75,1000000)</f>
        <v>0</v>
      </c>
      <c r="H67" s="190"/>
      <c r="I67" s="190"/>
      <c r="J67" s="190"/>
      <c r="K67" s="190"/>
      <c r="L67" s="190"/>
      <c r="M67" s="190"/>
      <c r="N67" s="190"/>
      <c r="O67" s="190"/>
      <c r="P67" s="190"/>
      <c r="Q67" s="190"/>
      <c r="R67" s="190"/>
      <c r="S67" s="190"/>
      <c r="T67" s="190"/>
      <c r="U67" s="190"/>
      <c r="V67" s="190"/>
      <c r="W67" s="190"/>
      <c r="X67" s="190"/>
      <c r="Y67" s="190"/>
      <c r="Z67" s="190"/>
      <c r="AA67" s="190"/>
    </row>
    <row r="68" spans="1:27" s="59" customFormat="1" x14ac:dyDescent="0.25">
      <c r="A68" s="190"/>
      <c r="B68" s="190"/>
      <c r="C68" s="190"/>
      <c r="D68" s="190"/>
      <c r="E68" s="190"/>
      <c r="F68" s="190" t="s">
        <v>223</v>
      </c>
      <c r="G68" s="192">
        <f>IF(D18=Statics!F3,D26,IF(D18=Statics!F4,'Affordability Checker'!D31,'Affordability Checker'!D26+'Affordability Checker'!D31+'Affordability Checker'!D34+'Affordability Checker'!D39))</f>
        <v>0</v>
      </c>
      <c r="H68" s="190"/>
      <c r="I68" s="190"/>
      <c r="J68" s="190"/>
      <c r="K68" s="190"/>
      <c r="L68" s="190"/>
      <c r="M68" s="190"/>
      <c r="N68" s="190"/>
      <c r="O68" s="190"/>
      <c r="P68" s="190"/>
      <c r="Q68" s="190"/>
      <c r="R68" s="190"/>
      <c r="S68" s="190"/>
      <c r="T68" s="190"/>
      <c r="U68" s="190"/>
      <c r="V68" s="190"/>
      <c r="W68" s="190"/>
      <c r="X68" s="190"/>
      <c r="Y68" s="190"/>
      <c r="Z68" s="190"/>
      <c r="AA68" s="190"/>
    </row>
    <row r="69" spans="1:27" s="59" customFormat="1" x14ac:dyDescent="0.25">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row>
    <row r="70" spans="1:27" s="59" customFormat="1" x14ac:dyDescent="0.2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row>
    <row r="71" spans="1:27" s="59" customFormat="1" x14ac:dyDescent="0.25">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row>
    <row r="72" spans="1:27" s="59" customFormat="1" x14ac:dyDescent="0.25">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row>
    <row r="73" spans="1:27" s="59" customFormat="1" x14ac:dyDescent="0.25">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row>
    <row r="74" spans="1:27" s="59" customFormat="1" x14ac:dyDescent="0.25">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row>
    <row r="75" spans="1:27" s="59" customFormat="1" x14ac:dyDescent="0.25">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row>
    <row r="76" spans="1:27" s="189" customFormat="1" x14ac:dyDescent="0.25">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row>
    <row r="77" spans="1:27" s="189" customFormat="1" x14ac:dyDescent="0.25">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row>
    <row r="78" spans="1:27" s="189" customFormat="1" x14ac:dyDescent="0.25">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row>
    <row r="79" spans="1:27" s="189" customFormat="1" x14ac:dyDescent="0.25">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row>
    <row r="80" spans="1:27" s="189" customFormat="1" x14ac:dyDescent="0.25">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row>
    <row r="81" spans="1:27" s="189" customFormat="1" x14ac:dyDescent="0.25">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row>
    <row r="82" spans="1:27" s="189" customFormat="1" x14ac:dyDescent="0.25">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row>
    <row r="83" spans="1:27" s="189" customFormat="1" x14ac:dyDescent="0.25">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row>
    <row r="84" spans="1:27" s="189" customFormat="1" x14ac:dyDescent="0.25">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row>
    <row r="85" spans="1:27" s="189" customFormat="1" x14ac:dyDescent="0.25">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row>
    <row r="86" spans="1:27" s="189" customFormat="1" x14ac:dyDescent="0.25">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row>
    <row r="87" spans="1:27" s="189" customFormat="1" x14ac:dyDescent="0.25">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row>
    <row r="88" spans="1:27" s="189" customFormat="1" x14ac:dyDescent="0.25">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row>
    <row r="89" spans="1:27" s="189" customFormat="1" x14ac:dyDescent="0.25">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row>
    <row r="90" spans="1:27" s="189" customFormat="1" x14ac:dyDescent="0.25">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row>
    <row r="91" spans="1:27" s="189" customFormat="1" x14ac:dyDescent="0.25">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row>
    <row r="92" spans="1:27" x14ac:dyDescent="0.25">
      <c r="A92" s="110"/>
      <c r="B92" s="110"/>
      <c r="C92" s="110"/>
      <c r="D92" s="110"/>
      <c r="E92" s="110"/>
      <c r="F92" s="110"/>
      <c r="G92" s="110"/>
      <c r="H92" s="110"/>
      <c r="I92" s="110"/>
      <c r="J92" s="110"/>
      <c r="K92" s="110"/>
      <c r="L92" s="110"/>
    </row>
    <row r="93" spans="1:27" x14ac:dyDescent="0.25">
      <c r="A93" s="110"/>
      <c r="B93" s="110"/>
      <c r="C93" s="110"/>
      <c r="D93" s="110"/>
      <c r="E93" s="110"/>
      <c r="F93" s="110"/>
      <c r="G93" s="110"/>
      <c r="H93" s="110"/>
      <c r="I93" s="110"/>
      <c r="J93" s="110"/>
      <c r="K93" s="110"/>
      <c r="L93" s="110"/>
    </row>
    <row r="94" spans="1:27" x14ac:dyDescent="0.25">
      <c r="A94" s="110"/>
      <c r="B94" s="110"/>
      <c r="C94" s="110"/>
      <c r="D94" s="110"/>
      <c r="E94" s="110"/>
      <c r="F94" s="110"/>
      <c r="G94" s="110"/>
      <c r="H94" s="110"/>
      <c r="I94" s="110"/>
      <c r="J94" s="110"/>
      <c r="K94" s="110"/>
      <c r="L94" s="110"/>
    </row>
    <row r="95" spans="1:27" x14ac:dyDescent="0.25">
      <c r="A95" s="110"/>
      <c r="B95" s="110"/>
      <c r="C95" s="110"/>
      <c r="D95" s="110"/>
      <c r="E95" s="110"/>
      <c r="F95" s="110"/>
      <c r="G95" s="110"/>
      <c r="H95" s="110"/>
      <c r="I95" s="110"/>
      <c r="J95" s="110"/>
      <c r="K95" s="110"/>
      <c r="L95" s="110"/>
    </row>
    <row r="96" spans="1:27" x14ac:dyDescent="0.25">
      <c r="A96" s="110"/>
      <c r="B96" s="110"/>
      <c r="C96" s="110"/>
      <c r="D96" s="110"/>
      <c r="E96" s="110"/>
      <c r="F96" s="110"/>
      <c r="G96" s="110"/>
      <c r="H96" s="110"/>
      <c r="I96" s="110"/>
      <c r="J96" s="110"/>
      <c r="K96" s="110"/>
      <c r="L96" s="110"/>
    </row>
    <row r="97" spans="1:12" x14ac:dyDescent="0.25">
      <c r="A97" s="110"/>
      <c r="B97" s="110"/>
      <c r="C97" s="110"/>
      <c r="D97" s="110"/>
      <c r="E97" s="110"/>
      <c r="F97" s="110"/>
      <c r="G97" s="110"/>
      <c r="H97" s="110"/>
      <c r="I97" s="110"/>
      <c r="J97" s="110"/>
      <c r="K97" s="110"/>
      <c r="L97" s="110"/>
    </row>
    <row r="98" spans="1:12" x14ac:dyDescent="0.25">
      <c r="A98" s="110"/>
      <c r="B98" s="110"/>
      <c r="C98" s="110"/>
      <c r="D98" s="110"/>
      <c r="E98" s="110"/>
      <c r="F98" s="110"/>
      <c r="G98" s="110"/>
      <c r="H98" s="110"/>
      <c r="I98" s="110"/>
      <c r="J98" s="110"/>
      <c r="K98" s="110"/>
      <c r="L98" s="110"/>
    </row>
    <row r="99" spans="1:12" x14ac:dyDescent="0.25">
      <c r="A99" s="110"/>
      <c r="B99" s="110"/>
      <c r="C99" s="110"/>
      <c r="D99" s="110"/>
      <c r="E99" s="110"/>
      <c r="F99" s="110"/>
      <c r="G99" s="110"/>
      <c r="H99" s="110"/>
      <c r="I99" s="110"/>
      <c r="J99" s="110"/>
      <c r="K99" s="110"/>
      <c r="L99" s="110"/>
    </row>
    <row r="100" spans="1:12" x14ac:dyDescent="0.25">
      <c r="A100" s="110"/>
      <c r="B100" s="110"/>
      <c r="C100" s="110"/>
      <c r="D100" s="110"/>
      <c r="E100" s="110"/>
      <c r="F100" s="110"/>
      <c r="G100" s="110"/>
      <c r="H100" s="110"/>
      <c r="I100" s="110"/>
      <c r="J100" s="110"/>
      <c r="K100" s="110"/>
      <c r="L100" s="110"/>
    </row>
    <row r="101" spans="1:12" x14ac:dyDescent="0.25">
      <c r="A101" s="110"/>
      <c r="B101" s="110"/>
      <c r="C101" s="110"/>
      <c r="D101" s="110"/>
      <c r="E101" s="110"/>
      <c r="F101" s="110"/>
      <c r="G101" s="110"/>
      <c r="H101" s="110"/>
      <c r="I101" s="110"/>
      <c r="J101" s="110"/>
      <c r="K101" s="110"/>
      <c r="L101" s="110"/>
    </row>
    <row r="102" spans="1:12" x14ac:dyDescent="0.25">
      <c r="A102" s="110"/>
      <c r="B102" s="110"/>
      <c r="C102" s="110"/>
      <c r="D102" s="110"/>
      <c r="E102" s="110"/>
      <c r="F102" s="110"/>
      <c r="G102" s="110"/>
      <c r="H102" s="110"/>
      <c r="I102" s="110"/>
      <c r="J102" s="110"/>
      <c r="K102" s="110"/>
      <c r="L102" s="110"/>
    </row>
    <row r="103" spans="1:12" x14ac:dyDescent="0.25">
      <c r="A103" s="110"/>
      <c r="B103" s="110"/>
      <c r="C103" s="110"/>
      <c r="D103" s="110"/>
      <c r="E103" s="110"/>
      <c r="F103" s="110"/>
      <c r="G103" s="110"/>
      <c r="H103" s="110"/>
      <c r="I103" s="110"/>
      <c r="J103" s="110"/>
      <c r="K103" s="110"/>
      <c r="L103" s="110"/>
    </row>
    <row r="104" spans="1:12" x14ac:dyDescent="0.25">
      <c r="A104" s="110"/>
      <c r="B104" s="110"/>
      <c r="C104" s="110"/>
      <c r="D104" s="110"/>
      <c r="E104" s="110"/>
      <c r="F104" s="110"/>
      <c r="G104" s="110"/>
      <c r="H104" s="110"/>
      <c r="I104" s="110"/>
      <c r="J104" s="110"/>
      <c r="K104" s="110"/>
      <c r="L104" s="110"/>
    </row>
    <row r="105" spans="1:12" x14ac:dyDescent="0.25">
      <c r="A105" s="110"/>
      <c r="B105" s="110"/>
      <c r="C105" s="110"/>
      <c r="D105" s="110"/>
      <c r="E105" s="110"/>
      <c r="F105" s="110"/>
      <c r="G105" s="110"/>
      <c r="H105" s="110"/>
      <c r="I105" s="110"/>
      <c r="J105" s="110"/>
      <c r="K105" s="110"/>
      <c r="L105" s="110"/>
    </row>
    <row r="106" spans="1:12" x14ac:dyDescent="0.25">
      <c r="A106" s="110"/>
      <c r="B106" s="110"/>
      <c r="C106" s="110"/>
      <c r="D106" s="110"/>
      <c r="E106" s="110"/>
      <c r="F106" s="110"/>
      <c r="G106" s="110"/>
      <c r="H106" s="110"/>
      <c r="I106" s="110"/>
      <c r="J106" s="110"/>
      <c r="K106" s="110"/>
      <c r="L106" s="110"/>
    </row>
    <row r="107" spans="1:12" x14ac:dyDescent="0.25">
      <c r="A107" s="110"/>
      <c r="B107" s="110"/>
      <c r="C107" s="110"/>
      <c r="D107" s="110"/>
      <c r="E107" s="110"/>
      <c r="F107" s="110"/>
      <c r="G107" s="110"/>
      <c r="H107" s="110"/>
      <c r="I107" s="110"/>
      <c r="J107" s="110"/>
      <c r="K107" s="110"/>
      <c r="L107" s="110"/>
    </row>
    <row r="108" spans="1:12" x14ac:dyDescent="0.25">
      <c r="A108" s="110"/>
      <c r="B108" s="110"/>
      <c r="C108" s="110"/>
      <c r="D108" s="110"/>
      <c r="E108" s="110"/>
      <c r="F108" s="110"/>
      <c r="G108" s="110"/>
      <c r="H108" s="110"/>
      <c r="I108" s="110"/>
      <c r="J108" s="110"/>
      <c r="K108" s="110"/>
      <c r="L108" s="110"/>
    </row>
    <row r="109" spans="1:12" x14ac:dyDescent="0.25">
      <c r="A109" s="110"/>
      <c r="B109" s="110"/>
      <c r="C109" s="110"/>
      <c r="D109" s="110"/>
      <c r="E109" s="110"/>
      <c r="F109" s="110"/>
      <c r="G109" s="110"/>
      <c r="H109" s="110"/>
      <c r="I109" s="110"/>
      <c r="J109" s="110"/>
      <c r="K109" s="110"/>
      <c r="L109" s="110"/>
    </row>
    <row r="110" spans="1:12" x14ac:dyDescent="0.25">
      <c r="A110" s="110"/>
      <c r="B110" s="110"/>
      <c r="C110" s="110"/>
      <c r="D110" s="110"/>
      <c r="E110" s="110"/>
      <c r="F110" s="110"/>
      <c r="G110" s="110"/>
      <c r="H110" s="110"/>
      <c r="I110" s="110"/>
      <c r="J110" s="110"/>
      <c r="K110" s="110"/>
      <c r="L110" s="110"/>
    </row>
    <row r="111" spans="1:12" x14ac:dyDescent="0.25">
      <c r="A111" s="110"/>
      <c r="B111" s="110"/>
      <c r="C111" s="110"/>
      <c r="D111" s="110"/>
      <c r="E111" s="110"/>
      <c r="F111" s="110"/>
      <c r="G111" s="110"/>
      <c r="H111" s="110"/>
      <c r="I111" s="110"/>
      <c r="J111" s="110"/>
      <c r="K111" s="110"/>
      <c r="L111" s="110"/>
    </row>
    <row r="112" spans="1:12" x14ac:dyDescent="0.25">
      <c r="A112" s="110"/>
      <c r="B112" s="110"/>
      <c r="C112" s="110"/>
      <c r="D112" s="110"/>
      <c r="E112" s="110"/>
      <c r="F112" s="110"/>
      <c r="G112" s="110"/>
      <c r="H112" s="110"/>
      <c r="I112" s="110"/>
      <c r="J112" s="110"/>
      <c r="K112" s="110"/>
      <c r="L112" s="110"/>
    </row>
    <row r="113" spans="1:12" x14ac:dyDescent="0.25">
      <c r="A113" s="110"/>
      <c r="B113" s="110"/>
      <c r="C113" s="110"/>
      <c r="D113" s="110"/>
      <c r="E113" s="110"/>
      <c r="F113" s="110"/>
      <c r="G113" s="110"/>
      <c r="H113" s="110"/>
      <c r="I113" s="110"/>
      <c r="J113" s="110"/>
      <c r="K113" s="110"/>
      <c r="L113" s="110"/>
    </row>
    <row r="114" spans="1:12" x14ac:dyDescent="0.25">
      <c r="A114" s="110"/>
      <c r="B114" s="110"/>
      <c r="C114" s="110"/>
      <c r="D114" s="110"/>
      <c r="E114" s="110"/>
      <c r="F114" s="110"/>
      <c r="G114" s="110"/>
      <c r="H114" s="110"/>
      <c r="I114" s="110"/>
      <c r="J114" s="110"/>
      <c r="K114" s="110"/>
      <c r="L114" s="110"/>
    </row>
    <row r="115" spans="1:12" x14ac:dyDescent="0.25">
      <c r="A115" s="110"/>
      <c r="B115" s="110"/>
      <c r="C115" s="110"/>
      <c r="D115" s="110"/>
      <c r="E115" s="110"/>
      <c r="F115" s="110"/>
      <c r="G115" s="110"/>
      <c r="H115" s="110"/>
      <c r="I115" s="110"/>
      <c r="J115" s="110"/>
      <c r="K115" s="110"/>
      <c r="L115" s="110"/>
    </row>
    <row r="116" spans="1:12" x14ac:dyDescent="0.25">
      <c r="A116" s="110"/>
      <c r="B116" s="110"/>
      <c r="C116" s="110"/>
      <c r="D116" s="110"/>
      <c r="E116" s="110"/>
      <c r="F116" s="110"/>
      <c r="G116" s="110"/>
      <c r="H116" s="110"/>
      <c r="I116" s="110"/>
      <c r="J116" s="110"/>
      <c r="K116" s="110"/>
      <c r="L116" s="110"/>
    </row>
    <row r="117" spans="1:12" x14ac:dyDescent="0.25">
      <c r="A117" s="110"/>
      <c r="B117" s="110"/>
      <c r="C117" s="110"/>
      <c r="D117" s="110"/>
      <c r="E117" s="110"/>
      <c r="F117" s="110"/>
      <c r="G117" s="110"/>
      <c r="H117" s="110"/>
      <c r="I117" s="110"/>
      <c r="J117" s="110"/>
      <c r="K117" s="110"/>
      <c r="L117" s="110"/>
    </row>
    <row r="118" spans="1:12" x14ac:dyDescent="0.25">
      <c r="A118" s="110"/>
      <c r="B118" s="110"/>
      <c r="C118" s="110"/>
      <c r="D118" s="110"/>
      <c r="E118" s="110"/>
      <c r="F118" s="110"/>
      <c r="G118" s="110"/>
      <c r="H118" s="110"/>
      <c r="I118" s="110"/>
      <c r="J118" s="110"/>
      <c r="K118" s="110"/>
      <c r="L118" s="110"/>
    </row>
    <row r="119" spans="1:12" x14ac:dyDescent="0.25">
      <c r="A119" s="110"/>
      <c r="B119" s="110"/>
      <c r="C119" s="110"/>
      <c r="D119" s="110"/>
      <c r="E119" s="110"/>
      <c r="F119" s="110"/>
      <c r="G119" s="110"/>
      <c r="H119" s="110"/>
      <c r="I119" s="110"/>
      <c r="J119" s="110"/>
      <c r="K119" s="110"/>
      <c r="L119" s="110"/>
    </row>
    <row r="120" spans="1:12" x14ac:dyDescent="0.25">
      <c r="A120" s="110"/>
      <c r="B120" s="110"/>
      <c r="C120" s="110"/>
      <c r="D120" s="110"/>
      <c r="E120" s="110"/>
      <c r="F120" s="110"/>
      <c r="G120" s="110"/>
      <c r="H120" s="110"/>
      <c r="I120" s="110"/>
      <c r="J120" s="110"/>
      <c r="K120" s="110"/>
      <c r="L120" s="110"/>
    </row>
    <row r="121" spans="1:12" x14ac:dyDescent="0.25">
      <c r="A121" s="110"/>
      <c r="B121" s="110"/>
      <c r="C121" s="110"/>
      <c r="D121" s="110"/>
      <c r="E121" s="110"/>
      <c r="F121" s="110"/>
      <c r="G121" s="110"/>
      <c r="H121" s="110"/>
      <c r="I121" s="110"/>
      <c r="J121" s="110"/>
      <c r="K121" s="110"/>
      <c r="L121" s="110"/>
    </row>
    <row r="122" spans="1:12" x14ac:dyDescent="0.25">
      <c r="A122" s="110"/>
      <c r="B122" s="110"/>
      <c r="C122" s="110"/>
      <c r="D122" s="110"/>
      <c r="E122" s="110"/>
      <c r="F122" s="110"/>
      <c r="G122" s="110"/>
      <c r="H122" s="110"/>
      <c r="I122" s="110"/>
      <c r="J122" s="110"/>
      <c r="K122" s="110"/>
      <c r="L122" s="110"/>
    </row>
    <row r="123" spans="1:12" x14ac:dyDescent="0.25">
      <c r="A123" s="110"/>
      <c r="B123" s="110"/>
      <c r="C123" s="110"/>
      <c r="D123" s="110"/>
      <c r="E123" s="110"/>
      <c r="F123" s="110"/>
      <c r="G123" s="110"/>
      <c r="H123" s="110"/>
      <c r="I123" s="110"/>
      <c r="J123" s="110"/>
      <c r="K123" s="110"/>
      <c r="L123" s="110"/>
    </row>
    <row r="124" spans="1:12" x14ac:dyDescent="0.25">
      <c r="A124" s="110"/>
      <c r="B124" s="110"/>
      <c r="C124" s="110"/>
      <c r="D124" s="110"/>
      <c r="E124" s="110"/>
      <c r="F124" s="110"/>
      <c r="G124" s="110"/>
      <c r="H124" s="110"/>
      <c r="I124" s="110"/>
      <c r="J124" s="110"/>
      <c r="K124" s="110"/>
      <c r="L124" s="110"/>
    </row>
    <row r="125" spans="1:12" x14ac:dyDescent="0.25">
      <c r="A125" s="110"/>
      <c r="B125" s="110"/>
      <c r="C125" s="110"/>
      <c r="D125" s="110"/>
      <c r="E125" s="110"/>
      <c r="F125" s="110"/>
      <c r="G125" s="110"/>
      <c r="H125" s="110"/>
      <c r="I125" s="110"/>
      <c r="J125" s="110"/>
      <c r="K125" s="110"/>
      <c r="L125" s="110"/>
    </row>
    <row r="126" spans="1:12" x14ac:dyDescent="0.25">
      <c r="A126" s="110"/>
      <c r="B126" s="110"/>
      <c r="C126" s="110"/>
      <c r="D126" s="110"/>
      <c r="E126" s="110"/>
      <c r="F126" s="110"/>
      <c r="G126" s="110"/>
      <c r="H126" s="110"/>
      <c r="I126" s="110"/>
      <c r="J126" s="110"/>
      <c r="K126" s="110"/>
      <c r="L126" s="110"/>
    </row>
    <row r="127" spans="1:12" x14ac:dyDescent="0.25">
      <c r="A127" s="110"/>
      <c r="B127" s="110"/>
      <c r="C127" s="110"/>
      <c r="D127" s="110"/>
      <c r="E127" s="110"/>
      <c r="F127" s="110"/>
      <c r="G127" s="110"/>
      <c r="H127" s="110"/>
      <c r="I127" s="110"/>
      <c r="K127" s="110"/>
      <c r="L127" s="110"/>
    </row>
    <row r="128" spans="1:12" x14ac:dyDescent="0.25">
      <c r="B128" s="110"/>
      <c r="C128" s="110"/>
      <c r="D128" s="110"/>
      <c r="E128" s="110"/>
      <c r="F128" s="110"/>
      <c r="G128" s="110"/>
      <c r="H128" s="110"/>
      <c r="I128" s="110"/>
    </row>
    <row r="129" spans="3:9" x14ac:dyDescent="0.25">
      <c r="C129" s="110"/>
      <c r="D129" s="110"/>
      <c r="E129" s="110"/>
      <c r="F129" s="110"/>
      <c r="G129" s="110"/>
      <c r="H129" s="110"/>
      <c r="I129" s="110"/>
    </row>
    <row r="130" spans="3:9" x14ac:dyDescent="0.25">
      <c r="C130" s="110"/>
      <c r="D130" s="110"/>
      <c r="E130" s="110"/>
      <c r="F130" s="110"/>
      <c r="G130" s="110"/>
      <c r="H130" s="110"/>
    </row>
    <row r="131" spans="3:9" x14ac:dyDescent="0.25">
      <c r="C131" s="110"/>
      <c r="D131" s="110"/>
      <c r="E131" s="110"/>
      <c r="F131" s="110"/>
      <c r="G131" s="110"/>
      <c r="H131" s="110"/>
    </row>
    <row r="132" spans="3:9" x14ac:dyDescent="0.25">
      <c r="C132" s="110"/>
      <c r="D132" s="110"/>
      <c r="E132" s="110"/>
      <c r="F132" s="110"/>
      <c r="G132" s="110"/>
      <c r="H132" s="110"/>
    </row>
    <row r="133" spans="3:9" x14ac:dyDescent="0.25">
      <c r="C133" s="110"/>
      <c r="D133" s="110"/>
      <c r="E133" s="110"/>
      <c r="F133" s="110"/>
      <c r="G133" s="110"/>
      <c r="H133" s="110"/>
    </row>
    <row r="134" spans="3:9" x14ac:dyDescent="0.25">
      <c r="C134" s="110"/>
      <c r="D134" s="110"/>
      <c r="E134" s="110"/>
    </row>
  </sheetData>
  <sheetProtection algorithmName="SHA-512" hashValue="ah5QQG2KXJpqNbQpHujULoUF4TBIAhU+YC613/ThCkGLwHc0GWzni0mTxy5Zd/QcvWCUQ39UKu+1/hyiEVdf8Q==" saltValue="5zSxILI+S+5acHMv773PcA==" spinCount="100000" sheet="1" selectLockedCells="1"/>
  <mergeCells count="5">
    <mergeCell ref="C2:G3"/>
    <mergeCell ref="C5:G5"/>
    <mergeCell ref="F41:H54"/>
    <mergeCell ref="C4:G4"/>
    <mergeCell ref="C46:D49"/>
  </mergeCells>
  <conditionalFormatting sqref="C25:D28">
    <cfRule type="expression" dxfId="9" priority="15">
      <formula>$D$18="Interest Only"</formula>
    </cfRule>
  </conditionalFormatting>
  <conditionalFormatting sqref="C30:D31">
    <cfRule type="expression" dxfId="8" priority="11">
      <formula>$D$18="Repayment"</formula>
    </cfRule>
  </conditionalFormatting>
  <conditionalFormatting sqref="C33:D36">
    <cfRule type="expression" dxfId="7" priority="5">
      <formula>$D$18="Repayment"</formula>
    </cfRule>
  </conditionalFormatting>
  <conditionalFormatting sqref="C33:D39">
    <cfRule type="expression" dxfId="6" priority="6">
      <formula>$D$18="Interest Only"</formula>
    </cfRule>
  </conditionalFormatting>
  <conditionalFormatting sqref="C38:D39">
    <cfRule type="expression" dxfId="5" priority="8">
      <formula>$D$18="Repayment"</formula>
    </cfRule>
  </conditionalFormatting>
  <conditionalFormatting sqref="D20">
    <cfRule type="cellIs" dxfId="4" priority="1" operator="equal">
      <formula>0</formula>
    </cfRule>
  </conditionalFormatting>
  <conditionalFormatting sqref="D41">
    <cfRule type="cellIs" dxfId="3" priority="12" operator="equal">
      <formula>"FAIL"</formula>
    </cfRule>
    <cfRule type="cellIs" dxfId="2" priority="13" operator="equal">
      <formula>"REFER"</formula>
    </cfRule>
    <cfRule type="cellIs" dxfId="1" priority="14" operator="equal">
      <formula>"PASS"</formula>
    </cfRule>
  </conditionalFormatting>
  <dataValidations count="2">
    <dataValidation type="whole" allowBlank="1" showInputMessage="1" showErrorMessage="1" errorTitle="Incorrect value" error="Term in years must be a whole number in the range 5-40" sqref="D27 D35" xr:uid="{00000000-0002-0000-0000-000000000000}">
      <formula1>5</formula1>
      <formula2>40</formula2>
    </dataValidation>
    <dataValidation type="whole" allowBlank="1" showInputMessage="1" showErrorMessage="1" errorTitle="Incorrect value" error="Term in months must be a whole number in the range 0-11" sqref="D28 D36" xr:uid="{00000000-0002-0000-0000-000001000000}">
      <formula1>0</formula1>
      <formula2>11</formula2>
    </dataValidation>
  </dataValidations>
  <hyperlinks>
    <hyperlink ref="F55" r:id="rId1" xr:uid="{00000000-0004-0000-0000-000000000000}"/>
  </hyperlinks>
  <pageMargins left="0.7" right="0.7" top="0.75" bottom="0.75" header="0.3" footer="0.3"/>
  <pageSetup paperSize="9" scale="52" orientation="landscape" r:id="rId2"/>
  <colBreaks count="1" manualBreakCount="1">
    <brk id="10" max="1048575" man="1"/>
  </colBreaks>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Statics!$B$3:$B$6</xm:f>
          </x14:formula1>
          <xm:sqref>D8</xm:sqref>
        </x14:dataValidation>
        <x14:dataValidation type="list" allowBlank="1" showInputMessage="1" showErrorMessage="1" xr:uid="{00000000-0002-0000-0000-000004000000}">
          <x14:formula1>
            <xm:f>Statics!$F$3:$F$5</xm:f>
          </x14:formula1>
          <xm:sqref>D18</xm:sqref>
        </x14:dataValidation>
        <x14:dataValidation type="list" allowBlank="1" showInputMessage="1" showErrorMessage="1" xr:uid="{00000000-0002-0000-0000-000005000000}">
          <x14:formula1>
            <xm:f>Statics!$D$3:$D$5</xm:f>
          </x14:formula1>
          <xm:sqref>D9</xm:sqref>
        </x14:dataValidation>
        <x14:dataValidation type="list" allowBlank="1" showInputMessage="1" showErrorMessage="1" xr:uid="{00000000-0002-0000-0000-000006000000}">
          <x14:formula1>
            <xm:f>Statics!$H$3:$H$4</xm:f>
          </x14:formula1>
          <xm:sqref>H18:H39 H7:H15</xm:sqref>
        </x14:dataValidation>
        <x14:dataValidation type="list" allowBlank="1" showInputMessage="1" showErrorMessage="1" xr:uid="{00000000-0002-0000-0000-000007000000}">
          <x14:formula1>
            <xm:f>Statics!$J$3:$J$4</xm:f>
          </x14:formula1>
          <xm:sqref>D10</xm:sqref>
        </x14:dataValidation>
        <x14:dataValidation type="list" allowBlank="1" showInputMessage="1" showErrorMessage="1" xr:uid="{00000000-0002-0000-0000-000008000000}">
          <x14:formula1>
            <xm:f>'Mortgage products'!$B$5:$B$15</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I115"/>
  <sheetViews>
    <sheetView topLeftCell="A94" zoomScaleNormal="100" workbookViewId="0">
      <selection activeCell="D115" sqref="D115"/>
    </sheetView>
  </sheetViews>
  <sheetFormatPr defaultColWidth="9.140625" defaultRowHeight="15" x14ac:dyDescent="0.25"/>
  <cols>
    <col min="1" max="1" width="9.140625" style="1"/>
    <col min="2" max="2" width="60" style="1" customWidth="1"/>
    <col min="3" max="3" width="17.28515625" style="1" customWidth="1"/>
    <col min="4" max="4" width="17.140625" style="1" customWidth="1"/>
    <col min="5" max="5" width="2.42578125" style="1" customWidth="1"/>
    <col min="6" max="6" width="9.140625" style="1"/>
    <col min="7" max="7" width="29.28515625" style="1" customWidth="1"/>
    <col min="8" max="8" width="9.85546875" style="1" bestFit="1" customWidth="1"/>
    <col min="9" max="9" width="29.7109375" style="1" customWidth="1"/>
    <col min="10" max="16384" width="9.140625" style="1"/>
  </cols>
  <sheetData>
    <row r="1" spans="2:9" ht="15.75" thickBot="1" x14ac:dyDescent="0.3"/>
    <row r="2" spans="2:9" ht="18.75" x14ac:dyDescent="0.3">
      <c r="B2" s="222" t="s">
        <v>52</v>
      </c>
      <c r="C2" s="223"/>
      <c r="D2" s="223"/>
      <c r="E2" s="223"/>
      <c r="F2" s="223"/>
      <c r="G2" s="223"/>
      <c r="H2" s="224"/>
    </row>
    <row r="3" spans="2:9" ht="14.25" customHeight="1" thickBot="1" x14ac:dyDescent="0.35">
      <c r="B3" s="60"/>
      <c r="C3" s="61"/>
      <c r="D3" s="61"/>
      <c r="E3" s="61"/>
      <c r="F3" s="61"/>
      <c r="G3" s="61"/>
      <c r="H3" s="62"/>
    </row>
    <row r="4" spans="2:9" ht="227.25" customHeight="1" thickBot="1" x14ac:dyDescent="0.3">
      <c r="B4" s="225" t="s">
        <v>54</v>
      </c>
      <c r="C4" s="226"/>
      <c r="D4" s="226"/>
      <c r="E4" s="226"/>
      <c r="F4" s="226"/>
      <c r="G4" s="226"/>
      <c r="H4" s="227"/>
    </row>
    <row r="5" spans="2:9" ht="19.5" thickBot="1" x14ac:dyDescent="0.35">
      <c r="B5" s="228" t="str">
        <f>"Customer Name: "&amp;'Affordability Checker'!D7</f>
        <v xml:space="preserve">Customer Name: </v>
      </c>
      <c r="C5" s="229"/>
      <c r="D5" s="229"/>
      <c r="E5" s="229"/>
      <c r="F5" s="229"/>
      <c r="G5" s="229"/>
      <c r="H5" s="230"/>
    </row>
    <row r="7" spans="2:9" x14ac:dyDescent="0.25">
      <c r="B7" s="63" t="s">
        <v>0</v>
      </c>
    </row>
    <row r="8" spans="2:9" x14ac:dyDescent="0.25">
      <c r="B8" s="1" t="s">
        <v>39</v>
      </c>
      <c r="C8" s="64"/>
      <c r="D8" s="64"/>
      <c r="E8" s="64"/>
      <c r="F8" s="64"/>
      <c r="G8" s="64"/>
      <c r="H8" s="64"/>
    </row>
    <row r="9" spans="2:9" ht="15.75" thickBot="1" x14ac:dyDescent="0.3"/>
    <row r="10" spans="2:9" ht="30" customHeight="1" thickBot="1" x14ac:dyDescent="0.3">
      <c r="B10" s="65"/>
      <c r="C10" s="66"/>
      <c r="D10" s="66"/>
      <c r="E10" s="66"/>
      <c r="F10" s="66"/>
      <c r="G10" s="67" t="s">
        <v>167</v>
      </c>
      <c r="H10" s="67"/>
      <c r="I10" s="36" t="s">
        <v>43</v>
      </c>
    </row>
    <row r="11" spans="2:9" x14ac:dyDescent="0.25">
      <c r="B11" s="68" t="s">
        <v>60</v>
      </c>
      <c r="C11" s="69"/>
      <c r="D11" s="93">
        <f>SUM('Affordability Checker'!G7:G10)</f>
        <v>0</v>
      </c>
      <c r="E11" s="70"/>
      <c r="F11" s="70"/>
      <c r="G11" s="95" t="str">
        <f>IF('Affordability Checker'!H7="A","A","E")</f>
        <v>E</v>
      </c>
      <c r="I11" s="38"/>
    </row>
    <row r="12" spans="2:9" x14ac:dyDescent="0.25">
      <c r="B12" s="37"/>
      <c r="D12" s="93"/>
      <c r="E12" s="2"/>
      <c r="F12" s="2"/>
      <c r="G12"/>
      <c r="I12" s="38"/>
    </row>
    <row r="13" spans="2:9" x14ac:dyDescent="0.25">
      <c r="B13" s="37" t="s">
        <v>15</v>
      </c>
      <c r="C13" s="2"/>
      <c r="D13" s="93">
        <f>'Affordability Checker'!G11</f>
        <v>0</v>
      </c>
      <c r="E13" s="70"/>
      <c r="F13" s="70"/>
      <c r="G13" s="95" t="str">
        <f>IF('Affordability Checker'!H11="A","A","E")</f>
        <v>E</v>
      </c>
      <c r="I13" s="38"/>
    </row>
    <row r="14" spans="2:9" x14ac:dyDescent="0.25">
      <c r="B14" s="37"/>
      <c r="D14" s="93"/>
      <c r="G14"/>
      <c r="I14" s="38"/>
    </row>
    <row r="15" spans="2:9" x14ac:dyDescent="0.25">
      <c r="B15" s="37" t="s">
        <v>1</v>
      </c>
      <c r="C15" s="71"/>
      <c r="D15" s="93">
        <f>'Affordability Checker'!G12</f>
        <v>0</v>
      </c>
      <c r="E15" s="70"/>
      <c r="F15" s="70"/>
      <c r="G15" s="95" t="str">
        <f>IF('Affordability Checker'!H12="A","A","E")</f>
        <v>E</v>
      </c>
      <c r="I15" s="38"/>
    </row>
    <row r="16" spans="2:9" x14ac:dyDescent="0.25">
      <c r="B16" s="37"/>
      <c r="D16" s="93"/>
      <c r="E16" s="2"/>
      <c r="F16" s="2"/>
      <c r="G16"/>
      <c r="I16" s="38"/>
    </row>
    <row r="17" spans="2:9" x14ac:dyDescent="0.25">
      <c r="B17" s="37" t="s">
        <v>18</v>
      </c>
      <c r="D17" s="93">
        <f>'Affordability Checker'!G13</f>
        <v>0</v>
      </c>
      <c r="G17" s="95" t="str">
        <f>IF('Affordability Checker'!H13="A","A","E")</f>
        <v>E</v>
      </c>
      <c r="I17" s="38"/>
    </row>
    <row r="18" spans="2:9" x14ac:dyDescent="0.25">
      <c r="B18" s="37"/>
      <c r="C18" s="72"/>
      <c r="D18" s="93"/>
      <c r="G18"/>
      <c r="I18" s="38"/>
    </row>
    <row r="19" spans="2:9" x14ac:dyDescent="0.25">
      <c r="B19" s="37" t="s">
        <v>2</v>
      </c>
      <c r="C19" s="73"/>
      <c r="D19" s="93">
        <f>'Affordability Checker'!G14</f>
        <v>0</v>
      </c>
      <c r="E19" s="2"/>
      <c r="F19" s="2"/>
      <c r="G19" s="95" t="str">
        <f>IF('Affordability Checker'!H14="A","A","E")</f>
        <v>E</v>
      </c>
      <c r="I19" s="38"/>
    </row>
    <row r="20" spans="2:9" x14ac:dyDescent="0.25">
      <c r="B20" s="37"/>
      <c r="D20" s="93"/>
      <c r="G20"/>
      <c r="I20" s="38"/>
    </row>
    <row r="21" spans="2:9" x14ac:dyDescent="0.25">
      <c r="B21" s="37" t="s">
        <v>3</v>
      </c>
      <c r="C21" s="74"/>
      <c r="D21" s="93">
        <f>'Affordability Checker'!G15</f>
        <v>0</v>
      </c>
      <c r="G21" s="95" t="str">
        <f>IF('Affordability Checker'!H15="A","A","E")</f>
        <v>E</v>
      </c>
      <c r="I21" s="38"/>
    </row>
    <row r="22" spans="2:9" x14ac:dyDescent="0.25">
      <c r="B22" s="37" t="s">
        <v>4</v>
      </c>
      <c r="D22" s="93"/>
      <c r="G22"/>
      <c r="I22" s="38"/>
    </row>
    <row r="23" spans="2:9" x14ac:dyDescent="0.25">
      <c r="B23" s="37" t="s">
        <v>7</v>
      </c>
      <c r="D23" s="93"/>
      <c r="G23"/>
      <c r="I23" s="38"/>
    </row>
    <row r="24" spans="2:9" x14ac:dyDescent="0.25">
      <c r="B24" s="37" t="s">
        <v>5</v>
      </c>
      <c r="D24" s="93"/>
      <c r="G24"/>
      <c r="I24" s="38"/>
    </row>
    <row r="25" spans="2:9" x14ac:dyDescent="0.25">
      <c r="B25" s="37" t="s">
        <v>5</v>
      </c>
      <c r="D25" s="93"/>
      <c r="G25"/>
      <c r="I25" s="38"/>
    </row>
    <row r="26" spans="2:9" x14ac:dyDescent="0.25">
      <c r="B26" s="37"/>
      <c r="D26" s="93"/>
      <c r="G26"/>
      <c r="I26" s="38"/>
    </row>
    <row r="27" spans="2:9" ht="15.75" thickBot="1" x14ac:dyDescent="0.3">
      <c r="B27" s="37"/>
      <c r="D27" s="93"/>
      <c r="G27"/>
      <c r="I27" s="38"/>
    </row>
    <row r="28" spans="2:9" ht="15.75" thickBot="1" x14ac:dyDescent="0.3">
      <c r="B28" s="75" t="s">
        <v>31</v>
      </c>
      <c r="C28" s="76"/>
      <c r="D28" s="94">
        <f>SUM(D11:D26)</f>
        <v>0</v>
      </c>
      <c r="E28" s="76"/>
      <c r="F28" s="76"/>
      <c r="G28" s="16"/>
      <c r="H28" s="76"/>
      <c r="I28" s="78"/>
    </row>
    <row r="29" spans="2:9" x14ac:dyDescent="0.25">
      <c r="D29" s="55"/>
    </row>
    <row r="30" spans="2:9" x14ac:dyDescent="0.25">
      <c r="D30" s="55"/>
    </row>
    <row r="33" spans="2:9" ht="28.5" customHeight="1" x14ac:dyDescent="0.25">
      <c r="B33" s="1" t="s">
        <v>6</v>
      </c>
      <c r="C33" s="64"/>
      <c r="D33" s="64"/>
      <c r="E33" s="64"/>
      <c r="F33" s="64"/>
      <c r="G33" s="64"/>
      <c r="H33" s="64"/>
    </row>
    <row r="36" spans="2:9" x14ac:dyDescent="0.25">
      <c r="B36" s="63" t="s">
        <v>8</v>
      </c>
    </row>
    <row r="37" spans="2:9" x14ac:dyDescent="0.25">
      <c r="B37" s="1" t="s">
        <v>40</v>
      </c>
      <c r="C37" s="64"/>
      <c r="D37" s="64"/>
      <c r="E37" s="64"/>
      <c r="F37" s="64"/>
      <c r="G37" s="64"/>
      <c r="H37" s="64"/>
    </row>
    <row r="38" spans="2:9" ht="15.75" thickBot="1" x14ac:dyDescent="0.3"/>
    <row r="39" spans="2:9" ht="30" customHeight="1" thickBot="1" x14ac:dyDescent="0.3">
      <c r="B39" s="65"/>
      <c r="C39" s="66"/>
      <c r="D39" s="66"/>
      <c r="E39" s="66"/>
      <c r="F39" s="66"/>
      <c r="G39" s="67" t="s">
        <v>167</v>
      </c>
      <c r="H39" s="66"/>
      <c r="I39" s="36" t="s">
        <v>43</v>
      </c>
    </row>
    <row r="40" spans="2:9" x14ac:dyDescent="0.25">
      <c r="B40" s="79" t="s">
        <v>20</v>
      </c>
      <c r="C40" s="80"/>
      <c r="D40" s="96"/>
      <c r="E40" s="80"/>
      <c r="F40" s="80"/>
      <c r="G40" s="100"/>
      <c r="H40" s="80"/>
      <c r="I40" s="81"/>
    </row>
    <row r="41" spans="2:9" x14ac:dyDescent="0.25">
      <c r="B41" s="37" t="s">
        <v>55</v>
      </c>
      <c r="D41" s="93">
        <f>'Affordability Checker'!G19</f>
        <v>0</v>
      </c>
      <c r="E41" s="70"/>
      <c r="F41" s="70"/>
      <c r="G41" s="95" t="str">
        <f>IF('Affordability Checker'!H19="A","A","E")</f>
        <v>E</v>
      </c>
      <c r="I41" s="38"/>
    </row>
    <row r="42" spans="2:9" x14ac:dyDescent="0.25">
      <c r="B42" s="37" t="s">
        <v>16</v>
      </c>
      <c r="D42" s="93"/>
      <c r="G42"/>
      <c r="I42" s="38"/>
    </row>
    <row r="43" spans="2:9" x14ac:dyDescent="0.25">
      <c r="B43" s="37" t="s">
        <v>9</v>
      </c>
      <c r="D43" s="93"/>
      <c r="G43"/>
      <c r="I43" s="38"/>
    </row>
    <row r="44" spans="2:9" x14ac:dyDescent="0.25">
      <c r="B44" s="37"/>
      <c r="D44" s="93"/>
      <c r="G44"/>
      <c r="I44" s="38"/>
    </row>
    <row r="45" spans="2:9" x14ac:dyDescent="0.25">
      <c r="B45" s="37" t="s">
        <v>10</v>
      </c>
      <c r="D45" s="97"/>
      <c r="G45"/>
      <c r="I45" s="38"/>
    </row>
    <row r="46" spans="2:9" x14ac:dyDescent="0.25">
      <c r="B46" s="37" t="s">
        <v>56</v>
      </c>
      <c r="D46" s="98">
        <f>'Repayment Calculator'!J46</f>
        <v>0</v>
      </c>
      <c r="G46" s="95"/>
      <c r="I46" s="38"/>
    </row>
    <row r="47" spans="2:9" ht="45" x14ac:dyDescent="0.25">
      <c r="B47" s="37"/>
      <c r="D47" s="99" t="s">
        <v>124</v>
      </c>
      <c r="E47" s="82"/>
      <c r="F47" s="82"/>
      <c r="G47" s="99"/>
      <c r="H47" s="82"/>
      <c r="I47" s="38"/>
    </row>
    <row r="48" spans="2:9" x14ac:dyDescent="0.25">
      <c r="B48" s="37" t="s">
        <v>17</v>
      </c>
      <c r="D48" s="93">
        <f>IF('Affordability Checker'!G20=0,0,MAX('Affordability Checker'!G20,25))</f>
        <v>0</v>
      </c>
      <c r="E48" s="70"/>
      <c r="F48" s="70"/>
      <c r="G48" s="95" t="str">
        <f>IF('Affordability Checker'!H20="A","A","E")</f>
        <v>E</v>
      </c>
      <c r="I48" s="38"/>
    </row>
    <row r="49" spans="2:9" x14ac:dyDescent="0.25">
      <c r="B49" s="37"/>
      <c r="D49" s="93"/>
      <c r="G49"/>
      <c r="I49" s="38"/>
    </row>
    <row r="50" spans="2:9" x14ac:dyDescent="0.25">
      <c r="B50" s="37" t="s">
        <v>57</v>
      </c>
      <c r="C50" s="83"/>
      <c r="D50" s="93">
        <f>'Affordability Checker'!G21+'Affordability Checker'!G22</f>
        <v>0</v>
      </c>
      <c r="E50" s="70"/>
      <c r="F50" s="70"/>
      <c r="G50" s="95" t="str">
        <f>IF('Affordability Checker'!H21="A","A","E")</f>
        <v>E</v>
      </c>
      <c r="I50" s="38"/>
    </row>
    <row r="51" spans="2:9" x14ac:dyDescent="0.25">
      <c r="B51" s="37"/>
      <c r="D51" s="93"/>
      <c r="G51"/>
      <c r="I51" s="38"/>
    </row>
    <row r="52" spans="2:9" x14ac:dyDescent="0.25">
      <c r="B52" s="37" t="s">
        <v>11</v>
      </c>
      <c r="D52" s="93">
        <f>'Affordability Checker'!G23</f>
        <v>0</v>
      </c>
      <c r="G52" s="95" t="str">
        <f>IF('Affordability Checker'!H23="A","A","E")</f>
        <v>E</v>
      </c>
      <c r="I52" s="38"/>
    </row>
    <row r="53" spans="2:9" ht="15.75" thickBot="1" x14ac:dyDescent="0.3">
      <c r="B53" s="37"/>
      <c r="D53"/>
      <c r="G53"/>
      <c r="I53" s="38"/>
    </row>
    <row r="54" spans="2:9" ht="15.75" thickBot="1" x14ac:dyDescent="0.3">
      <c r="B54" s="75" t="s">
        <v>30</v>
      </c>
      <c r="C54" s="76"/>
      <c r="D54" s="77"/>
      <c r="E54" s="76"/>
      <c r="F54" s="76"/>
      <c r="G54" s="76"/>
      <c r="H54" s="103">
        <f>SUM(D41:D52)</f>
        <v>0</v>
      </c>
      <c r="I54" s="78"/>
    </row>
    <row r="55" spans="2:9" ht="15.75" thickBot="1" x14ac:dyDescent="0.3">
      <c r="B55" s="63"/>
      <c r="D55" s="55"/>
      <c r="H55" s="84"/>
    </row>
    <row r="56" spans="2:9" ht="32.25" customHeight="1" thickBot="1" x14ac:dyDescent="0.3">
      <c r="B56" s="65"/>
      <c r="C56" s="66"/>
      <c r="D56" s="66"/>
      <c r="E56" s="66"/>
      <c r="F56" s="66" t="s">
        <v>94</v>
      </c>
      <c r="G56" s="67" t="s">
        <v>168</v>
      </c>
      <c r="H56" s="67"/>
      <c r="I56" s="36" t="s">
        <v>43</v>
      </c>
    </row>
    <row r="57" spans="2:9" x14ac:dyDescent="0.25">
      <c r="B57" s="85" t="s">
        <v>19</v>
      </c>
      <c r="D57"/>
      <c r="F57"/>
      <c r="G57"/>
      <c r="I57" s="38"/>
    </row>
    <row r="58" spans="2:9" x14ac:dyDescent="0.25">
      <c r="B58" s="37"/>
      <c r="D58"/>
      <c r="F58"/>
      <c r="G58"/>
      <c r="I58" s="38"/>
    </row>
    <row r="59" spans="2:9" x14ac:dyDescent="0.25">
      <c r="B59" s="37" t="s">
        <v>21</v>
      </c>
      <c r="D59" s="93">
        <f>IF('Affordability Checker'!H25="A",'Affordability Checker'!G25,IF('Affordability Checker'!G25&lt;AID!F59,AID!F59,'Affordability Checker'!G25))</f>
        <v>180</v>
      </c>
      <c r="E59" s="70"/>
      <c r="F59" s="101">
        <f>HLOOKUP('Affordability minimums'!$O$3,'Affordability minimums'!$B$2:$K$38,3,FALSE)</f>
        <v>180</v>
      </c>
      <c r="G59" s="95" t="str">
        <f>IF('Affordability Checker'!H25="A","A",IF('Affordability Checker'!G25&lt;AID!F59,"M","E"))</f>
        <v>M</v>
      </c>
      <c r="I59" s="38"/>
    </row>
    <row r="60" spans="2:9" x14ac:dyDescent="0.25">
      <c r="B60" s="37"/>
      <c r="D60" s="93"/>
      <c r="F60"/>
      <c r="G60"/>
      <c r="I60" s="38"/>
    </row>
    <row r="61" spans="2:9" x14ac:dyDescent="0.25">
      <c r="B61" s="37" t="s">
        <v>58</v>
      </c>
      <c r="D61" s="93">
        <f>IF('Affordability Checker'!H26="A",'Affordability Checker'!G26,IF('Affordability Checker'!G26&lt;AID!F61,AID!F61,'Affordability Checker'!G26))</f>
        <v>220</v>
      </c>
      <c r="E61" s="70"/>
      <c r="F61" s="101">
        <f>HLOOKUP('Affordability minimums'!$O$3,'Affordability minimums'!$B$2:$K$38,5,FALSE)</f>
        <v>220</v>
      </c>
      <c r="G61" s="95" t="str">
        <f>IF('Affordability Checker'!H26="A","A",IF('Affordability Checker'!G26&lt;AID!F61,"M","E"))</f>
        <v>M</v>
      </c>
      <c r="I61" s="38"/>
    </row>
    <row r="62" spans="2:9" x14ac:dyDescent="0.25">
      <c r="B62" s="37"/>
      <c r="D62" s="93"/>
      <c r="E62" s="2"/>
      <c r="F62" s="102"/>
      <c r="G62"/>
      <c r="I62" s="38"/>
    </row>
    <row r="63" spans="2:9" x14ac:dyDescent="0.25">
      <c r="B63" s="37" t="s">
        <v>41</v>
      </c>
      <c r="C63" s="69"/>
      <c r="D63" s="93">
        <f>IF('Affordability Checker'!H27="A",'Affordability Checker'!G27,IF('Affordability Checker'!G27&lt;AID!F63,AID!F63,'Affordability Checker'!G27))</f>
        <v>120</v>
      </c>
      <c r="E63" s="70"/>
      <c r="F63" s="101">
        <f>HLOOKUP('Affordability minimums'!$O$3,'Affordability minimums'!$B$2:$K$38,7,FALSE)</f>
        <v>120</v>
      </c>
      <c r="G63" s="95" t="str">
        <f>IF('Affordability Checker'!H27="A","A",IF('Affordability Checker'!G27&lt;AID!F63,"M","E"))</f>
        <v>M</v>
      </c>
      <c r="I63" s="38"/>
    </row>
    <row r="64" spans="2:9" x14ac:dyDescent="0.25">
      <c r="B64" s="37"/>
      <c r="D64" s="93"/>
      <c r="E64" s="2"/>
      <c r="F64" s="102"/>
      <c r="G64"/>
      <c r="I64" s="38"/>
    </row>
    <row r="65" spans="2:9" x14ac:dyDescent="0.25">
      <c r="B65" s="37" t="s">
        <v>12</v>
      </c>
      <c r="C65" s="71"/>
      <c r="D65" s="93">
        <f>IF('Affordability Checker'!H28="A",'Affordability Checker'!G28,IF('Affordability Checker'!G28&lt;AID!F65,AID!F65,'Affordability Checker'!G28))</f>
        <v>30</v>
      </c>
      <c r="E65" s="70"/>
      <c r="F65" s="101">
        <f>HLOOKUP('Affordability minimums'!$O$3,'Affordability minimums'!$B$2:$K$38,9,FALSE)</f>
        <v>30</v>
      </c>
      <c r="G65" s="95" t="str">
        <f>IF('Affordability Checker'!H28="A","A",IF('Affordability Checker'!G28&lt;AID!F65,"M","E"))</f>
        <v>M</v>
      </c>
      <c r="I65" s="38"/>
    </row>
    <row r="66" spans="2:9" x14ac:dyDescent="0.25">
      <c r="B66" s="37"/>
      <c r="D66" s="93"/>
      <c r="E66" s="2"/>
      <c r="F66" s="102"/>
      <c r="G66"/>
      <c r="I66" s="38"/>
    </row>
    <row r="67" spans="2:9" x14ac:dyDescent="0.25">
      <c r="B67" s="37" t="s">
        <v>22</v>
      </c>
      <c r="C67" s="71"/>
      <c r="D67" s="93">
        <f>IF('Affordability Checker'!H29="A",'Affordability Checker'!G29,IF('Affordability Checker'!G29&lt;AID!F67,AID!F67,'Affordability Checker'!G29))</f>
        <v>30</v>
      </c>
      <c r="E67" s="70"/>
      <c r="F67" s="101">
        <f>HLOOKUP('Affordability minimums'!$O$3,'Affordability minimums'!$B$2:$K$38,11,FALSE)</f>
        <v>30</v>
      </c>
      <c r="G67" s="95" t="str">
        <f>IF('Affordability Checker'!H29="A","A",IF('Affordability Checker'!G29&lt;AID!F67,"M","E"))</f>
        <v>M</v>
      </c>
      <c r="I67" s="38"/>
    </row>
    <row r="68" spans="2:9" x14ac:dyDescent="0.25">
      <c r="B68" s="37"/>
      <c r="D68" s="93"/>
      <c r="E68" s="2"/>
      <c r="F68" s="102"/>
      <c r="G68"/>
      <c r="I68" s="38"/>
    </row>
    <row r="69" spans="2:9" x14ac:dyDescent="0.25">
      <c r="B69" s="37" t="s">
        <v>53</v>
      </c>
      <c r="D69" s="93">
        <f>IF('Affordability Checker'!H30="A",'Affordability Checker'!G30,IF('Affordability Checker'!G30&lt;AID!F69,AID!F69,'Affordability Checker'!G30))</f>
        <v>30</v>
      </c>
      <c r="E69" s="70"/>
      <c r="F69" s="101">
        <f>HLOOKUP('Affordability minimums'!$O$3,'Affordability minimums'!$B$2:$K$38,13,FALSE)</f>
        <v>30</v>
      </c>
      <c r="G69" s="95" t="str">
        <f>IF('Affordability Checker'!H30="A","A",IF('Affordability Checker'!G30&lt;AID!F69,"M","E"))</f>
        <v>M</v>
      </c>
      <c r="I69" s="38"/>
    </row>
    <row r="70" spans="2:9" x14ac:dyDescent="0.25">
      <c r="B70" s="37"/>
      <c r="D70" s="93"/>
      <c r="E70" s="2"/>
      <c r="F70" s="102"/>
      <c r="G70"/>
      <c r="I70" s="38"/>
    </row>
    <row r="71" spans="2:9" x14ac:dyDescent="0.25">
      <c r="B71" s="37" t="s">
        <v>23</v>
      </c>
      <c r="D71" s="93">
        <f>IF('Affordability Checker'!H31="A",'Affordability Checker'!G31,IF('Affordability Checker'!G31&lt;AID!F71,AID!F71,'Affordability Checker'!G31))</f>
        <v>0</v>
      </c>
      <c r="E71" s="70"/>
      <c r="F71" s="101">
        <f>HLOOKUP('Affordability minimums'!$O$3,'Affordability minimums'!$B$2:$K$38,15,FALSE)</f>
        <v>0</v>
      </c>
      <c r="G71" s="95" t="str">
        <f>IF('Affordability Checker'!H31="A","A",IF('Affordability Checker'!G31&lt;AID!F71,"M","E"))</f>
        <v>E</v>
      </c>
      <c r="I71" s="38"/>
    </row>
    <row r="72" spans="2:9" x14ac:dyDescent="0.25">
      <c r="B72" s="37"/>
      <c r="D72" s="93"/>
      <c r="E72" s="2"/>
      <c r="F72" s="102"/>
      <c r="G72"/>
      <c r="I72" s="38"/>
    </row>
    <row r="73" spans="2:9" x14ac:dyDescent="0.25">
      <c r="B73" s="37" t="s">
        <v>24</v>
      </c>
      <c r="D73" s="93">
        <f>IF('Affordability Checker'!H32="A",'Affordability Checker'!G32,IF('Affordability Checker'!G32&lt;AID!F73,AID!F73,'Affordability Checker'!G32))</f>
        <v>180</v>
      </c>
      <c r="E73" s="70"/>
      <c r="F73" s="101">
        <f>HLOOKUP('Affordability minimums'!$O$3,'Affordability minimums'!$B$2:$K$38,17,FALSE)</f>
        <v>180</v>
      </c>
      <c r="G73" s="95" t="str">
        <f>IF('Affordability Checker'!H32="A","A",IF('Affordability Checker'!G32&lt;AID!F73,"M","E"))</f>
        <v>M</v>
      </c>
      <c r="I73" s="38"/>
    </row>
    <row r="74" spans="2:9" ht="15.75" thickBot="1" x14ac:dyDescent="0.3">
      <c r="B74" s="37"/>
      <c r="D74" s="93"/>
      <c r="E74" s="2"/>
      <c r="F74" s="102"/>
      <c r="G74"/>
      <c r="I74" s="38"/>
    </row>
    <row r="75" spans="2:9" ht="15.75" thickBot="1" x14ac:dyDescent="0.3">
      <c r="B75" s="75" t="s">
        <v>32</v>
      </c>
      <c r="C75" s="76"/>
      <c r="D75" s="77"/>
      <c r="E75" s="86"/>
      <c r="F75" s="86"/>
      <c r="G75" s="76"/>
      <c r="H75" s="103">
        <f>SUM(D59:D73)</f>
        <v>790</v>
      </c>
      <c r="I75" s="78"/>
    </row>
    <row r="76" spans="2:9" ht="15.75" thickBot="1" x14ac:dyDescent="0.3">
      <c r="B76" s="63"/>
      <c r="D76" s="55"/>
      <c r="E76" s="2"/>
      <c r="F76" s="2"/>
    </row>
    <row r="77" spans="2:9" ht="30.75" thickBot="1" x14ac:dyDescent="0.3">
      <c r="B77" s="87" t="s">
        <v>26</v>
      </c>
      <c r="C77" s="66"/>
      <c r="D77" s="88"/>
      <c r="E77" s="89"/>
      <c r="F77" s="66" t="s">
        <v>94</v>
      </c>
      <c r="G77" s="67" t="s">
        <v>169</v>
      </c>
      <c r="H77" s="66"/>
      <c r="I77" s="36" t="s">
        <v>43</v>
      </c>
    </row>
    <row r="78" spans="2:9" x14ac:dyDescent="0.25">
      <c r="B78" s="37" t="s">
        <v>27</v>
      </c>
      <c r="C78" s="71"/>
      <c r="D78" s="93">
        <f>IF('Affordability Checker'!H34="A",'Affordability Checker'!G34,IF('Affordability Checker'!G34&lt;AID!F78,AID!F78,'Affordability Checker'!G34))</f>
        <v>13</v>
      </c>
      <c r="E78" s="70"/>
      <c r="F78" s="101">
        <f>HLOOKUP('Affordability minimums'!$O$3,'Affordability minimums'!$B$2:$K$38,23,FALSE)</f>
        <v>13</v>
      </c>
      <c r="G78" s="95" t="str">
        <f>IF('Affordability Checker'!H34="A","A",IF('Affordability Checker'!G34&lt;AID!F78,"M","E"))</f>
        <v>M</v>
      </c>
      <c r="I78" s="38"/>
    </row>
    <row r="79" spans="2:9" x14ac:dyDescent="0.25">
      <c r="B79" s="37"/>
      <c r="D79" s="93"/>
      <c r="E79" s="2"/>
      <c r="F79" s="102"/>
      <c r="G79" s="95"/>
      <c r="I79" s="38"/>
    </row>
    <row r="80" spans="2:9" x14ac:dyDescent="0.25">
      <c r="B80" s="37" t="s">
        <v>13</v>
      </c>
      <c r="D80" s="93"/>
      <c r="E80" s="2"/>
      <c r="F80" s="102"/>
      <c r="G80" s="95"/>
      <c r="I80" s="38"/>
    </row>
    <row r="81" spans="2:9" x14ac:dyDescent="0.25">
      <c r="B81" s="37" t="s">
        <v>14</v>
      </c>
      <c r="D81" s="93">
        <f>IF('Affordability Checker'!H35="A",'Affordability Checker'!G35,IF('Affordability Checker'!G35&lt;AID!F81,AID!F81,'Affordability Checker'!G35))</f>
        <v>0</v>
      </c>
      <c r="E81" s="2"/>
      <c r="F81" s="101">
        <f>HLOOKUP('Affordability minimums'!$O$3,'Affordability minimums'!$B$2:$K$38,25,FALSE)</f>
        <v>0</v>
      </c>
      <c r="G81" s="95" t="str">
        <f>IF('Affordability Checker'!H35="A","A",IF('Affordability Checker'!G35&lt;AID!F81,"M","E"))</f>
        <v>E</v>
      </c>
      <c r="I81" s="38"/>
    </row>
    <row r="82" spans="2:9" x14ac:dyDescent="0.25">
      <c r="B82" s="37"/>
      <c r="D82" s="93"/>
      <c r="E82" s="2"/>
      <c r="F82" s="102"/>
      <c r="G82" s="95"/>
      <c r="I82" s="38"/>
    </row>
    <row r="83" spans="2:9" x14ac:dyDescent="0.25">
      <c r="B83" s="37" t="s">
        <v>25</v>
      </c>
      <c r="D83" s="93">
        <f>IF('Affordability Checker'!H36="A",'Affordability Checker'!G36,IF('Affordability Checker'!G36&lt;AID!F83,AID!F83,'Affordability Checker'!G36))</f>
        <v>60</v>
      </c>
      <c r="E83" s="70"/>
      <c r="F83" s="101">
        <f>HLOOKUP('Affordability minimums'!$O$3,'Affordability minimums'!$B$2:$K$38,27,FALSE)</f>
        <v>60</v>
      </c>
      <c r="G83" s="95" t="str">
        <f>IF('Affordability Checker'!H36="A","A",IF('Affordability Checker'!G36&lt;AID!F83,"M","E"))</f>
        <v>M</v>
      </c>
      <c r="I83" s="38"/>
    </row>
    <row r="84" spans="2:9" x14ac:dyDescent="0.25">
      <c r="B84" s="37"/>
      <c r="D84" s="93"/>
      <c r="E84" s="2"/>
      <c r="F84" s="102"/>
      <c r="G84" s="95"/>
      <c r="I84" s="38"/>
    </row>
    <row r="85" spans="2:9" x14ac:dyDescent="0.25">
      <c r="B85" s="37" t="s">
        <v>28</v>
      </c>
      <c r="D85" s="93">
        <f>IF('Affordability Checker'!H37="A",'Affordability Checker'!G37,IF('Affordability Checker'!G37&lt;AID!F85,AID!F85,'Affordability Checker'!G37))</f>
        <v>50</v>
      </c>
      <c r="E85" s="70"/>
      <c r="F85" s="101">
        <f>HLOOKUP('Affordability minimums'!$O$3,'Affordability minimums'!$B$2:$K$38,29,FALSE)</f>
        <v>50</v>
      </c>
      <c r="G85" s="95" t="str">
        <f>IF('Affordability Checker'!H37="A","A",IF('Affordability Checker'!G37&lt;AID!F85,"M","E"))</f>
        <v>M</v>
      </c>
      <c r="I85" s="38"/>
    </row>
    <row r="86" spans="2:9" x14ac:dyDescent="0.25">
      <c r="B86" s="37"/>
      <c r="D86" s="93"/>
      <c r="E86" s="2"/>
      <c r="F86" s="102"/>
      <c r="G86" s="95"/>
      <c r="I86" s="38"/>
    </row>
    <row r="87" spans="2:9" x14ac:dyDescent="0.25">
      <c r="B87" s="37" t="s">
        <v>42</v>
      </c>
      <c r="D87" s="93">
        <f>IF('Affordability Checker'!H38="A",'Affordability Checker'!G38,IF('Affordability Checker'!G38&lt;AID!F87,AID!F87,'Affordability Checker'!G38))</f>
        <v>50</v>
      </c>
      <c r="E87" s="70"/>
      <c r="F87" s="101">
        <f>HLOOKUP('Affordability minimums'!$O$3,'Affordability minimums'!$B$2:$K$38,31,FALSE)</f>
        <v>50</v>
      </c>
      <c r="G87" s="95" t="str">
        <f>IF('Affordability Checker'!H38="A","A",IF('Affordability Checker'!G38&lt;AID!F87,"M","E"))</f>
        <v>M</v>
      </c>
      <c r="I87" s="38"/>
    </row>
    <row r="88" spans="2:9" x14ac:dyDescent="0.25">
      <c r="B88" s="37"/>
      <c r="D88" s="93"/>
      <c r="E88" s="2"/>
      <c r="F88" s="102"/>
      <c r="G88" s="95"/>
      <c r="I88" s="38"/>
    </row>
    <row r="89" spans="2:9" x14ac:dyDescent="0.25">
      <c r="B89" s="37" t="s">
        <v>29</v>
      </c>
      <c r="D89" s="93">
        <f>IF('Affordability Checker'!H39="A",'Affordability Checker'!G39,IF('Affordability Checker'!G39&lt;AID!F89,AID!F89,'Affordability Checker'!G39))</f>
        <v>100</v>
      </c>
      <c r="E89" s="70"/>
      <c r="F89" s="101">
        <f>HLOOKUP('Affordability minimums'!$O$3,'Affordability minimums'!$B$2:$K$38,33,FALSE)</f>
        <v>100</v>
      </c>
      <c r="G89" s="95" t="str">
        <f>IF('Affordability Checker'!H39="A","A",IF('Affordability Checker'!G39&lt;AID!F89,"M","E"))</f>
        <v>M</v>
      </c>
      <c r="I89" s="38"/>
    </row>
    <row r="90" spans="2:9" ht="15.75" thickBot="1" x14ac:dyDescent="0.3">
      <c r="B90" s="37"/>
      <c r="D90"/>
      <c r="F90"/>
      <c r="G90"/>
      <c r="I90" s="38"/>
    </row>
    <row r="91" spans="2:9" ht="15.75" thickBot="1" x14ac:dyDescent="0.3">
      <c r="B91" s="75" t="s">
        <v>33</v>
      </c>
      <c r="C91" s="76"/>
      <c r="D91" s="76"/>
      <c r="E91" s="76"/>
      <c r="F91" s="76"/>
      <c r="G91" s="76"/>
      <c r="H91" s="103">
        <f>SUM(D78:D89)</f>
        <v>273</v>
      </c>
      <c r="I91" s="78"/>
    </row>
    <row r="97" spans="2:4" x14ac:dyDescent="0.25">
      <c r="B97" s="63" t="s">
        <v>36</v>
      </c>
      <c r="D97" s="104">
        <f>SUM(H75+H54+H91)</f>
        <v>1063</v>
      </c>
    </row>
    <row r="98" spans="2:4" x14ac:dyDescent="0.25">
      <c r="D98"/>
    </row>
    <row r="99" spans="2:4" x14ac:dyDescent="0.25">
      <c r="B99" s="63" t="s">
        <v>34</v>
      </c>
      <c r="D99" s="104">
        <f>SUM(H75+H54)</f>
        <v>790</v>
      </c>
    </row>
    <row r="100" spans="2:4" x14ac:dyDescent="0.25">
      <c r="D100"/>
    </row>
    <row r="101" spans="2:4" x14ac:dyDescent="0.25">
      <c r="D101"/>
    </row>
    <row r="102" spans="2:4" x14ac:dyDescent="0.25">
      <c r="D102"/>
    </row>
    <row r="103" spans="2:4" x14ac:dyDescent="0.25">
      <c r="D103"/>
    </row>
    <row r="104" spans="2:4" x14ac:dyDescent="0.25">
      <c r="D104"/>
    </row>
    <row r="105" spans="2:4" x14ac:dyDescent="0.25">
      <c r="B105" s="63" t="s">
        <v>37</v>
      </c>
      <c r="D105" s="93">
        <f>SUM(D28-D97)</f>
        <v>-1063</v>
      </c>
    </row>
    <row r="106" spans="2:4" x14ac:dyDescent="0.25">
      <c r="D106"/>
    </row>
    <row r="107" spans="2:4" x14ac:dyDescent="0.25">
      <c r="D107"/>
    </row>
    <row r="108" spans="2:4" x14ac:dyDescent="0.25">
      <c r="B108" s="63" t="s">
        <v>35</v>
      </c>
      <c r="D108" s="93">
        <f>SUM(D28-D99)</f>
        <v>-790</v>
      </c>
    </row>
    <row r="109" spans="2:4" x14ac:dyDescent="0.25">
      <c r="D109"/>
    </row>
    <row r="110" spans="2:4" x14ac:dyDescent="0.25">
      <c r="D110"/>
    </row>
    <row r="111" spans="2:4" x14ac:dyDescent="0.25">
      <c r="D111"/>
    </row>
    <row r="112" spans="2:4" x14ac:dyDescent="0.25">
      <c r="B112" s="1" t="s">
        <v>38</v>
      </c>
      <c r="D112">
        <f>IF(D28=0,0,100-(D99/D28*100))</f>
        <v>0</v>
      </c>
    </row>
    <row r="113" spans="2:4" x14ac:dyDescent="0.25">
      <c r="D113"/>
    </row>
    <row r="114" spans="2:4" ht="15.75" thickBot="1" x14ac:dyDescent="0.3">
      <c r="D114"/>
    </row>
    <row r="115" spans="2:4" s="92" customFormat="1" ht="15.75" thickBot="1" x14ac:dyDescent="0.3">
      <c r="B115" s="90" t="s">
        <v>125</v>
      </c>
      <c r="C115" s="91"/>
      <c r="D115" s="105">
        <f>IF(D28=0,0,100-(D97/D28*100))</f>
        <v>0</v>
      </c>
    </row>
  </sheetData>
  <sheetProtection sheet="1" objects="1" scenarios="1"/>
  <mergeCells count="3">
    <mergeCell ref="B2:H2"/>
    <mergeCell ref="B4:H4"/>
    <mergeCell ref="B5:H5"/>
  </mergeCells>
  <phoneticPr fontId="0" type="noConversion"/>
  <printOptions horizontalCentered="1" verticalCentered="1" gridLines="1"/>
  <pageMargins left="0.31496062992125984" right="0.31496062992125984" top="0.35433070866141736" bottom="0.35433070866141736" header="0.19685039370078741" footer="0.19685039370078741"/>
  <pageSetup paperSize="9" scale="50" orientation="portrait"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1:C7"/>
  <sheetViews>
    <sheetView zoomScaleNormal="100" workbookViewId="0">
      <selection activeCell="D115" sqref="D115"/>
    </sheetView>
  </sheetViews>
  <sheetFormatPr defaultRowHeight="15" x14ac:dyDescent="0.25"/>
  <cols>
    <col min="1" max="1" width="4.140625" customWidth="1"/>
    <col min="2" max="2" width="92.85546875" customWidth="1"/>
    <col min="3" max="3" width="21.28515625" customWidth="1"/>
  </cols>
  <sheetData>
    <row r="1" spans="2:3" ht="15.75" thickBot="1" x14ac:dyDescent="0.3">
      <c r="B1" s="157" t="s">
        <v>160</v>
      </c>
      <c r="C1" s="151"/>
    </row>
    <row r="2" spans="2:3" ht="15.75" thickBot="1" x14ac:dyDescent="0.3">
      <c r="B2" s="150" t="s">
        <v>158</v>
      </c>
      <c r="C2" s="151" t="s">
        <v>45</v>
      </c>
    </row>
    <row r="3" spans="2:3" x14ac:dyDescent="0.25">
      <c r="B3" s="10" t="s">
        <v>149</v>
      </c>
      <c r="C3" s="152">
        <f>'Affordability Checker'!D15</f>
        <v>0</v>
      </c>
    </row>
    <row r="4" spans="2:3" ht="15.75" thickBot="1" x14ac:dyDescent="0.3">
      <c r="B4" s="10" t="s">
        <v>157</v>
      </c>
      <c r="C4" s="152">
        <f>'Repayment Calculator'!J3+'Repayment Calculator'!J11+'Repayment Calculator'!J17+'Repayment Calculator'!J25+'Repayment Calculator'!J31+'Repayment Calculator'!J40</f>
        <v>1</v>
      </c>
    </row>
    <row r="5" spans="2:3" ht="15.75" thickBot="1" x14ac:dyDescent="0.3">
      <c r="B5" s="15" t="s">
        <v>159</v>
      </c>
      <c r="C5" s="158">
        <f>IF(C3=0,999,C4/(C3))</f>
        <v>999</v>
      </c>
    </row>
    <row r="7" spans="2:3" x14ac:dyDescent="0.25">
      <c r="B7" t="s">
        <v>166</v>
      </c>
    </row>
  </sheetData>
  <sheetProtection sheet="1" objects="1" scenarios="1"/>
  <conditionalFormatting sqref="C5">
    <cfRule type="cellIs" dxfId="0" priority="1" operator="greaterThan">
      <formula>4.9999</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2:V52"/>
  <sheetViews>
    <sheetView zoomScale="85" zoomScaleNormal="85" workbookViewId="0">
      <selection activeCell="D115" sqref="D115"/>
    </sheetView>
  </sheetViews>
  <sheetFormatPr defaultColWidth="8.85546875" defaultRowHeight="15" x14ac:dyDescent="0.25"/>
  <cols>
    <col min="1" max="1" width="2.7109375" style="1" customWidth="1"/>
    <col min="2" max="2" width="42" style="1" customWidth="1"/>
    <col min="3" max="3" width="16.28515625" style="1" customWidth="1"/>
    <col min="4" max="4" width="20" style="1" bestFit="1" customWidth="1"/>
    <col min="5" max="9" width="16.28515625" style="1" customWidth="1"/>
    <col min="10" max="10" width="20" style="1" bestFit="1" customWidth="1"/>
    <col min="11" max="18" width="8.85546875" style="1"/>
    <col min="19" max="19" width="24.28515625" style="1" bestFit="1" customWidth="1"/>
    <col min="20" max="16384" width="8.85546875" style="1"/>
  </cols>
  <sheetData>
    <row r="2" spans="2:22" x14ac:dyDescent="0.25">
      <c r="B2" s="43" t="s">
        <v>44</v>
      </c>
      <c r="C2" s="44" t="s">
        <v>134</v>
      </c>
      <c r="D2" s="132" t="s">
        <v>140</v>
      </c>
      <c r="E2" s="132" t="s">
        <v>135</v>
      </c>
      <c r="F2" s="132" t="s">
        <v>136</v>
      </c>
      <c r="G2" s="132" t="s">
        <v>137</v>
      </c>
      <c r="H2" s="132" t="s">
        <v>138</v>
      </c>
      <c r="I2" s="132" t="s">
        <v>139</v>
      </c>
      <c r="J2" s="51" t="s">
        <v>143</v>
      </c>
    </row>
    <row r="3" spans="2:22" x14ac:dyDescent="0.25">
      <c r="B3" s="41" t="s">
        <v>45</v>
      </c>
      <c r="C3" s="54"/>
      <c r="D3" s="199">
        <f>IF(ISBLANK(C3),IF(T3=0,1,IF('Affordability Checker'!D18="Interest Only",0,'Affordability Checker'!D26)),C3)</f>
        <v>1</v>
      </c>
      <c r="E3" s="42"/>
      <c r="F3" s="42"/>
      <c r="G3" s="42"/>
      <c r="H3" s="42"/>
      <c r="I3" s="42"/>
      <c r="J3" s="203">
        <f>SUM(D3:I3)</f>
        <v>1</v>
      </c>
      <c r="S3" s="1" t="s">
        <v>212</v>
      </c>
      <c r="T3" s="1">
        <f>IF('Affordability Checker'!D18="Interest Only",0,'Affordability Checker'!D26)+IF('Affordability Checker'!D18="Repayment",0,'Affordability Checker'!D31)+IF('Affordability Checker'!D18="Combined",'Affordability Checker'!D34,0)+IF('Affordability Checker'!D18="Combined",'Affordability Checker'!D39,0)</f>
        <v>0</v>
      </c>
    </row>
    <row r="4" spans="2:22" x14ac:dyDescent="0.25">
      <c r="B4" s="19" t="s">
        <v>46</v>
      </c>
      <c r="C4" s="49"/>
      <c r="D4" s="56">
        <f>IF(ISBLANK(C4),'Affordability Checker'!D21,C4)</f>
        <v>8.3900000000000002E-2</v>
      </c>
      <c r="E4" s="45"/>
      <c r="F4" s="45"/>
      <c r="G4" s="45"/>
      <c r="H4" s="45"/>
      <c r="I4" s="45"/>
      <c r="J4" s="204"/>
      <c r="K4" s="2"/>
    </row>
    <row r="5" spans="2:22" x14ac:dyDescent="0.25">
      <c r="B5" s="19" t="s">
        <v>47</v>
      </c>
      <c r="C5" s="47"/>
      <c r="D5" s="112">
        <f>IF(ISBLANK(C5),'Affordability Checker'!D27,C5)</f>
        <v>0</v>
      </c>
      <c r="J5" s="205"/>
    </row>
    <row r="6" spans="2:22" x14ac:dyDescent="0.25">
      <c r="B6" s="19" t="s">
        <v>48</v>
      </c>
      <c r="C6" s="47"/>
      <c r="D6" s="112">
        <f>IF(ISBLANK(C6),'Affordability Checker'!D28,C6)</f>
        <v>0</v>
      </c>
      <c r="J6" s="205"/>
    </row>
    <row r="7" spans="2:22" x14ac:dyDescent="0.25">
      <c r="B7" s="19" t="s">
        <v>129</v>
      </c>
      <c r="D7" s="200">
        <f>SUM(D4+Statics!$J$7)</f>
        <v>9.3899999999999997E-2</v>
      </c>
      <c r="E7" s="200">
        <f>SUM(E4+Statics!$J$7)</f>
        <v>0.01</v>
      </c>
      <c r="F7" s="200">
        <f>SUM(F4+Statics!$J$7)</f>
        <v>0.01</v>
      </c>
      <c r="G7" s="200">
        <f>SUM(G4+Statics!$J$7)</f>
        <v>0.01</v>
      </c>
      <c r="H7" s="200">
        <f>SUM(H4+Statics!$J$7)</f>
        <v>0.01</v>
      </c>
      <c r="I7" s="200">
        <f>SUM(I4+Statics!$J$7)</f>
        <v>0.01</v>
      </c>
      <c r="J7" s="206"/>
    </row>
    <row r="8" spans="2:22" x14ac:dyDescent="0.25">
      <c r="B8" s="19" t="s">
        <v>130</v>
      </c>
      <c r="C8" s="55"/>
      <c r="D8" s="201">
        <f>IF(D3&lt;=1,0,(D3*D4)/((1-(1/(1+D4/$C$52)^(((D5*12)+D6)/$C$51)))*12))</f>
        <v>0</v>
      </c>
      <c r="E8" s="201">
        <f t="shared" ref="E8:I8" si="0">IF(E3&lt;=1,0,(E3*E4)/((1-(1/(1+E4/$C$52)^(((E5*12)+E6)/$C$51)))*12))</f>
        <v>0</v>
      </c>
      <c r="F8" s="201">
        <f t="shared" si="0"/>
        <v>0</v>
      </c>
      <c r="G8" s="201">
        <f t="shared" si="0"/>
        <v>0</v>
      </c>
      <c r="H8" s="201">
        <f t="shared" si="0"/>
        <v>0</v>
      </c>
      <c r="I8" s="201">
        <f t="shared" si="0"/>
        <v>0</v>
      </c>
      <c r="J8" s="207">
        <f t="shared" ref="J8:J9" si="1">SUM(D8:I8)</f>
        <v>0</v>
      </c>
    </row>
    <row r="9" spans="2:22" x14ac:dyDescent="0.25">
      <c r="B9" s="19" t="s">
        <v>131</v>
      </c>
      <c r="C9" s="55"/>
      <c r="D9" s="202">
        <f>IF(D3&lt;=1,0,(D3*D7)/((1-(1/(1+D7/$C$52)^(((D5*12)+D6)/$C$51)))*12))</f>
        <v>0</v>
      </c>
      <c r="E9" s="202">
        <f t="shared" ref="E9:I9" si="2">IF(E3&lt;=1,0,(E3*E7)/((1-(1/(1+E7/$C$52)^(((E5*12)+E6)/$C$51)))*12))</f>
        <v>0</v>
      </c>
      <c r="F9" s="202">
        <f t="shared" si="2"/>
        <v>0</v>
      </c>
      <c r="G9" s="202">
        <f t="shared" si="2"/>
        <v>0</v>
      </c>
      <c r="H9" s="202">
        <f t="shared" si="2"/>
        <v>0</v>
      </c>
      <c r="I9" s="202">
        <f t="shared" si="2"/>
        <v>0</v>
      </c>
      <c r="J9" s="208">
        <f t="shared" si="1"/>
        <v>0</v>
      </c>
    </row>
    <row r="10" spans="2:22" x14ac:dyDescent="0.25">
      <c r="B10" s="43" t="s">
        <v>51</v>
      </c>
      <c r="C10" s="22"/>
      <c r="D10" s="107"/>
      <c r="E10" s="23"/>
      <c r="F10" s="23"/>
      <c r="G10" s="23"/>
      <c r="H10" s="23"/>
      <c r="I10" s="23"/>
      <c r="J10" s="50"/>
    </row>
    <row r="11" spans="2:22" x14ac:dyDescent="0.25">
      <c r="B11" s="19" t="s">
        <v>45</v>
      </c>
      <c r="C11" s="54"/>
      <c r="D11" s="199">
        <f>IF(ISBLANK(C11),IF('Affordability Checker'!D18="Repayment",0,'Affordability Checker'!D31),C11)</f>
        <v>0</v>
      </c>
      <c r="E11" s="42"/>
      <c r="F11" s="42"/>
      <c r="G11" s="42"/>
      <c r="H11" s="42"/>
      <c r="I11" s="42"/>
      <c r="J11" s="203">
        <f>SUM(D11:I11)</f>
        <v>0</v>
      </c>
    </row>
    <row r="12" spans="2:22" x14ac:dyDescent="0.25">
      <c r="B12" s="19" t="s">
        <v>46</v>
      </c>
      <c r="C12" s="49"/>
      <c r="D12" s="56">
        <f>IF(ISBLANK(C12),'Affordability Checker'!D21,C12)</f>
        <v>8.3900000000000002E-2</v>
      </c>
      <c r="E12" s="45"/>
      <c r="F12" s="45"/>
      <c r="G12" s="45"/>
      <c r="H12" s="45"/>
      <c r="I12" s="45"/>
      <c r="J12" s="204"/>
    </row>
    <row r="13" spans="2:22" x14ac:dyDescent="0.25">
      <c r="B13" s="19" t="s">
        <v>129</v>
      </c>
      <c r="D13" s="200">
        <f>D12+Statics!$J$7</f>
        <v>9.3899999999999997E-2</v>
      </c>
      <c r="E13" s="200">
        <f>E12+Statics!$J$7</f>
        <v>0.01</v>
      </c>
      <c r="F13" s="200">
        <f>F12+Statics!$J$7</f>
        <v>0.01</v>
      </c>
      <c r="G13" s="200">
        <f>G12+Statics!$J$7</f>
        <v>0.01</v>
      </c>
      <c r="H13" s="200">
        <f>H12+Statics!$J$7</f>
        <v>0.01</v>
      </c>
      <c r="I13" s="200">
        <f>I12+Statics!$J$7</f>
        <v>0.01</v>
      </c>
      <c r="J13" s="206"/>
    </row>
    <row r="14" spans="2:22" x14ac:dyDescent="0.25">
      <c r="B14" s="19" t="s">
        <v>132</v>
      </c>
      <c r="C14" s="55"/>
      <c r="D14" s="201">
        <f>(D11*D12)/12</f>
        <v>0</v>
      </c>
      <c r="E14" s="201">
        <f t="shared" ref="E14:I14" si="3">(E11*E12)/12</f>
        <v>0</v>
      </c>
      <c r="F14" s="201">
        <f t="shared" si="3"/>
        <v>0</v>
      </c>
      <c r="G14" s="201">
        <f t="shared" si="3"/>
        <v>0</v>
      </c>
      <c r="H14" s="201">
        <f t="shared" si="3"/>
        <v>0</v>
      </c>
      <c r="I14" s="201">
        <f t="shared" si="3"/>
        <v>0</v>
      </c>
      <c r="J14" s="207">
        <f t="shared" ref="J14:J15" si="4">SUM(D14:I14)</f>
        <v>0</v>
      </c>
    </row>
    <row r="15" spans="2:22" x14ac:dyDescent="0.25">
      <c r="B15" s="19" t="s">
        <v>133</v>
      </c>
      <c r="C15" s="55"/>
      <c r="D15" s="202">
        <f>D11*D13/12</f>
        <v>0</v>
      </c>
      <c r="E15" s="202">
        <f t="shared" ref="E15:I15" si="5">E11*E13/12</f>
        <v>0</v>
      </c>
      <c r="F15" s="202">
        <f t="shared" si="5"/>
        <v>0</v>
      </c>
      <c r="G15" s="202">
        <f t="shared" si="5"/>
        <v>0</v>
      </c>
      <c r="H15" s="202">
        <f t="shared" si="5"/>
        <v>0</v>
      </c>
      <c r="I15" s="202">
        <f t="shared" si="5"/>
        <v>0</v>
      </c>
      <c r="J15" s="208">
        <f t="shared" si="4"/>
        <v>0</v>
      </c>
    </row>
    <row r="16" spans="2:22" x14ac:dyDescent="0.25">
      <c r="B16" s="43" t="s">
        <v>162</v>
      </c>
      <c r="C16" s="44"/>
      <c r="D16" s="106"/>
      <c r="E16" s="21"/>
      <c r="F16" s="21"/>
      <c r="G16" s="21"/>
      <c r="H16" s="21"/>
      <c r="I16" s="21"/>
      <c r="J16" s="51"/>
      <c r="M16" s="231" t="s">
        <v>246</v>
      </c>
      <c r="N16" s="232"/>
      <c r="O16" s="232"/>
      <c r="P16" s="232"/>
      <c r="Q16" s="232"/>
      <c r="R16" s="232"/>
      <c r="S16" s="232"/>
      <c r="T16" s="232"/>
      <c r="U16" s="232"/>
      <c r="V16" s="233"/>
    </row>
    <row r="17" spans="2:22" x14ac:dyDescent="0.25">
      <c r="B17" s="41" t="s">
        <v>45</v>
      </c>
      <c r="C17" s="54"/>
      <c r="D17" s="199">
        <f>IF(ISBLANK(C17),IF('Affordability Checker'!D18="Combined",'Affordability Checker'!D34,0),C17)</f>
        <v>0</v>
      </c>
      <c r="E17" s="42"/>
      <c r="F17" s="42"/>
      <c r="G17" s="42"/>
      <c r="H17" s="42"/>
      <c r="I17" s="42"/>
      <c r="J17" s="203">
        <f>SUM(D17:I17)</f>
        <v>0</v>
      </c>
      <c r="M17" s="231" t="s">
        <v>244</v>
      </c>
      <c r="N17" s="232"/>
      <c r="O17" s="232"/>
      <c r="P17" s="232"/>
      <c r="Q17" s="232"/>
      <c r="R17" s="232"/>
      <c r="S17" s="232"/>
      <c r="T17" s="232"/>
      <c r="U17" s="232"/>
      <c r="V17" s="233"/>
    </row>
    <row r="18" spans="2:22" x14ac:dyDescent="0.25">
      <c r="B18" s="19" t="s">
        <v>46</v>
      </c>
      <c r="C18" s="49"/>
      <c r="D18" s="56">
        <f>IF(ISBLANK(C18),'Mortgage products'!C2,C18)</f>
        <v>8.3900000000000002E-2</v>
      </c>
      <c r="E18" s="45"/>
      <c r="F18" s="45"/>
      <c r="G18" s="45"/>
      <c r="H18" s="45"/>
      <c r="I18" s="45"/>
      <c r="J18" s="204"/>
      <c r="M18" s="231" t="s">
        <v>245</v>
      </c>
      <c r="N18" s="232"/>
      <c r="O18" s="232"/>
      <c r="P18" s="232"/>
      <c r="Q18" s="232"/>
      <c r="R18" s="232"/>
      <c r="S18" s="232"/>
      <c r="T18" s="232"/>
      <c r="U18" s="232"/>
      <c r="V18" s="233"/>
    </row>
    <row r="19" spans="2:22" x14ac:dyDescent="0.25">
      <c r="B19" s="19" t="s">
        <v>47</v>
      </c>
      <c r="C19" s="47"/>
      <c r="D19" s="112">
        <f>IF(ISBLANK(C19),'Affordability Checker'!D35,C19)</f>
        <v>0</v>
      </c>
      <c r="J19" s="205"/>
    </row>
    <row r="20" spans="2:22" x14ac:dyDescent="0.25">
      <c r="B20" s="19" t="s">
        <v>48</v>
      </c>
      <c r="C20" s="47"/>
      <c r="D20" s="112">
        <f>IF(ISBLANK(C20),'Affordability Checker'!D36,C20)</f>
        <v>0</v>
      </c>
      <c r="J20" s="205"/>
    </row>
    <row r="21" spans="2:22" x14ac:dyDescent="0.25">
      <c r="B21" s="19" t="s">
        <v>129</v>
      </c>
      <c r="D21" s="200">
        <f>SUM(D18+Statics!$J$7)</f>
        <v>9.3899999999999997E-2</v>
      </c>
      <c r="E21" s="200">
        <f>SUM(E18+Statics!$J$7)</f>
        <v>0.01</v>
      </c>
      <c r="F21" s="200">
        <f>SUM(F18+Statics!$J$7)</f>
        <v>0.01</v>
      </c>
      <c r="G21" s="200">
        <f>SUM(G18+Statics!$J$7)</f>
        <v>0.01</v>
      </c>
      <c r="H21" s="200">
        <f>SUM(H18+Statics!$J$7)</f>
        <v>0.01</v>
      </c>
      <c r="I21" s="200">
        <f>SUM(I18+Statics!$J$7)</f>
        <v>0.01</v>
      </c>
      <c r="J21" s="206"/>
    </row>
    <row r="22" spans="2:22" x14ac:dyDescent="0.25">
      <c r="B22" s="19" t="s">
        <v>130</v>
      </c>
      <c r="C22" s="55"/>
      <c r="D22" s="201">
        <f>IF(D17&lt;=0,0,(D17*D18)/((1-(1/(1+D18/$C$52)^(((D19*12)+D20)/$C$51)))*12))</f>
        <v>0</v>
      </c>
      <c r="E22" s="201">
        <f t="shared" ref="E22:I22" si="6">IF(E17&lt;=0,0,(E17*E18)/((1-(1/(1+E18/$C$52)^(((E19*12)+E20)/$C$51)))*12))</f>
        <v>0</v>
      </c>
      <c r="F22" s="201">
        <f t="shared" si="6"/>
        <v>0</v>
      </c>
      <c r="G22" s="201">
        <f t="shared" si="6"/>
        <v>0</v>
      </c>
      <c r="H22" s="201">
        <f t="shared" si="6"/>
        <v>0</v>
      </c>
      <c r="I22" s="201">
        <f t="shared" si="6"/>
        <v>0</v>
      </c>
      <c r="J22" s="207">
        <f t="shared" ref="J22:J23" si="7">SUM(D22:I22)</f>
        <v>0</v>
      </c>
    </row>
    <row r="23" spans="2:22" x14ac:dyDescent="0.25">
      <c r="B23" s="19" t="s">
        <v>131</v>
      </c>
      <c r="C23" s="55"/>
      <c r="D23" s="202">
        <f>IF(D17&lt;=0,0,(D17*D21)/((1-(1/(1+D21/$C$52)^(((D19*12)+D20)/$C$51)))*12))</f>
        <v>0</v>
      </c>
      <c r="E23" s="202">
        <f t="shared" ref="E23:I23" si="8">IF(E17&lt;=0,0,(E17*E21)/((1-(1/(1+E21/$C$52)^(((E19*12)+E20)/$C$51)))*12))</f>
        <v>0</v>
      </c>
      <c r="F23" s="202">
        <f t="shared" si="8"/>
        <v>0</v>
      </c>
      <c r="G23" s="202">
        <f t="shared" si="8"/>
        <v>0</v>
      </c>
      <c r="H23" s="202">
        <f t="shared" si="8"/>
        <v>0</v>
      </c>
      <c r="I23" s="202">
        <f t="shared" si="8"/>
        <v>0</v>
      </c>
      <c r="J23" s="208">
        <f t="shared" si="7"/>
        <v>0</v>
      </c>
    </row>
    <row r="24" spans="2:22" x14ac:dyDescent="0.25">
      <c r="B24" s="43" t="s">
        <v>163</v>
      </c>
      <c r="C24" s="22"/>
      <c r="D24" s="107"/>
      <c r="E24" s="23"/>
      <c r="F24" s="23"/>
      <c r="G24" s="23"/>
      <c r="H24" s="23"/>
      <c r="I24" s="23"/>
      <c r="J24" s="50"/>
    </row>
    <row r="25" spans="2:22" x14ac:dyDescent="0.25">
      <c r="B25" s="19" t="s">
        <v>45</v>
      </c>
      <c r="C25" s="54"/>
      <c r="D25" s="199">
        <f>IF(ISBLANK(C25),IF('Affordability Checker'!D18="Combined",'Affordability Checker'!D39,0),C25)</f>
        <v>0</v>
      </c>
      <c r="E25" s="42"/>
      <c r="F25" s="42"/>
      <c r="G25" s="42"/>
      <c r="H25" s="42"/>
      <c r="I25" s="42"/>
      <c r="J25" s="203">
        <f>SUM(D25:I25)</f>
        <v>0</v>
      </c>
    </row>
    <row r="26" spans="2:22" x14ac:dyDescent="0.25">
      <c r="B26" s="19" t="s">
        <v>46</v>
      </c>
      <c r="C26" s="49"/>
      <c r="D26" s="56">
        <f>IF(ISBLANK(C26),'Mortgage products'!C2,C26)</f>
        <v>8.3900000000000002E-2</v>
      </c>
      <c r="E26" s="45"/>
      <c r="F26" s="45"/>
      <c r="G26" s="45"/>
      <c r="H26" s="45"/>
      <c r="I26" s="45"/>
      <c r="J26" s="204"/>
    </row>
    <row r="27" spans="2:22" x14ac:dyDescent="0.25">
      <c r="B27" s="19" t="s">
        <v>129</v>
      </c>
      <c r="D27" s="56">
        <f>SUM(D26+Statics!$J$7)</f>
        <v>9.3899999999999997E-2</v>
      </c>
      <c r="E27" s="200">
        <f>SUM(E26+Statics!$J$7)</f>
        <v>0.01</v>
      </c>
      <c r="F27" s="200">
        <f>SUM(F26+Statics!$J$7)</f>
        <v>0.01</v>
      </c>
      <c r="G27" s="200">
        <f>SUM(G26+Statics!$J$7)</f>
        <v>0.01</v>
      </c>
      <c r="H27" s="200">
        <f>SUM(H26+Statics!$J$7)</f>
        <v>0.01</v>
      </c>
      <c r="I27" s="200">
        <f>SUM(I26+Statics!$J$7)</f>
        <v>0.01</v>
      </c>
      <c r="J27" s="206"/>
    </row>
    <row r="28" spans="2:22" x14ac:dyDescent="0.25">
      <c r="B28" s="19" t="s">
        <v>132</v>
      </c>
      <c r="C28" s="55"/>
      <c r="D28" s="201">
        <f>(D25*D26)/12</f>
        <v>0</v>
      </c>
      <c r="E28" s="201">
        <f t="shared" ref="E28:I28" si="9">(E25*E26)/12</f>
        <v>0</v>
      </c>
      <c r="F28" s="201">
        <f t="shared" si="9"/>
        <v>0</v>
      </c>
      <c r="G28" s="201">
        <f t="shared" si="9"/>
        <v>0</v>
      </c>
      <c r="H28" s="201">
        <f t="shared" si="9"/>
        <v>0</v>
      </c>
      <c r="I28" s="201">
        <f t="shared" si="9"/>
        <v>0</v>
      </c>
      <c r="J28" s="207">
        <f t="shared" ref="J28:J29" si="10">SUM(D28:I28)</f>
        <v>0</v>
      </c>
    </row>
    <row r="29" spans="2:22" x14ac:dyDescent="0.25">
      <c r="B29" s="19" t="s">
        <v>133</v>
      </c>
      <c r="C29" s="55"/>
      <c r="D29" s="202">
        <f>D25*D27/12</f>
        <v>0</v>
      </c>
      <c r="E29" s="202">
        <f t="shared" ref="E29:I29" si="11">E25*E27/12</f>
        <v>0</v>
      </c>
      <c r="F29" s="202">
        <f t="shared" si="11"/>
        <v>0</v>
      </c>
      <c r="G29" s="202">
        <f t="shared" si="11"/>
        <v>0</v>
      </c>
      <c r="H29" s="202">
        <f t="shared" si="11"/>
        <v>0</v>
      </c>
      <c r="I29" s="202">
        <f t="shared" si="11"/>
        <v>0</v>
      </c>
      <c r="J29" s="208">
        <f t="shared" si="10"/>
        <v>0</v>
      </c>
    </row>
    <row r="30" spans="2:22" x14ac:dyDescent="0.25">
      <c r="B30" s="43" t="s">
        <v>141</v>
      </c>
      <c r="C30" s="20"/>
      <c r="D30" s="108"/>
      <c r="E30" s="20"/>
      <c r="F30" s="20"/>
      <c r="G30" s="20"/>
      <c r="H30" s="20"/>
      <c r="I30" s="20"/>
      <c r="J30" s="52"/>
    </row>
    <row r="31" spans="2:22" x14ac:dyDescent="0.25">
      <c r="B31" s="41" t="s">
        <v>45</v>
      </c>
      <c r="C31" s="54"/>
      <c r="D31" s="201">
        <f>C31</f>
        <v>0</v>
      </c>
      <c r="E31" s="55"/>
      <c r="F31" s="55"/>
      <c r="G31" s="55"/>
      <c r="H31" s="55"/>
      <c r="I31" s="55"/>
      <c r="J31" s="207">
        <f>SUM(D31:I31)</f>
        <v>0</v>
      </c>
    </row>
    <row r="32" spans="2:22" x14ac:dyDescent="0.25">
      <c r="B32" s="19" t="s">
        <v>145</v>
      </c>
      <c r="C32" s="49"/>
      <c r="D32" s="56">
        <f>C32</f>
        <v>0</v>
      </c>
      <c r="E32" s="45"/>
      <c r="F32" s="45"/>
      <c r="G32" s="45"/>
      <c r="H32" s="45"/>
      <c r="I32" s="45"/>
      <c r="J32" s="204"/>
    </row>
    <row r="33" spans="2:10" x14ac:dyDescent="0.25">
      <c r="B33" s="19" t="s">
        <v>47</v>
      </c>
      <c r="C33" s="47"/>
      <c r="D33" s="112">
        <f>C33</f>
        <v>0</v>
      </c>
      <c r="J33" s="205"/>
    </row>
    <row r="34" spans="2:10" x14ac:dyDescent="0.25">
      <c r="B34" s="19" t="s">
        <v>48</v>
      </c>
      <c r="C34" s="47"/>
      <c r="D34" s="112">
        <f>C34</f>
        <v>0</v>
      </c>
      <c r="J34" s="205"/>
    </row>
    <row r="35" spans="2:10" x14ac:dyDescent="0.25">
      <c r="B35" s="19" t="s">
        <v>142</v>
      </c>
      <c r="C35" s="49"/>
      <c r="D35" s="56">
        <f>C35</f>
        <v>0</v>
      </c>
      <c r="E35" s="45"/>
      <c r="F35" s="45"/>
      <c r="G35" s="45"/>
      <c r="H35" s="45"/>
      <c r="I35" s="45"/>
      <c r="J35" s="204"/>
    </row>
    <row r="36" spans="2:10" x14ac:dyDescent="0.25">
      <c r="B36" s="19" t="s">
        <v>129</v>
      </c>
      <c r="D36" s="56">
        <f>MAX(SUM(D32+Statics!$J$7),D35)</f>
        <v>0.01</v>
      </c>
      <c r="E36" s="200">
        <f>MAX(SUM(E32+Statics!$J$7),E35)</f>
        <v>0.01</v>
      </c>
      <c r="F36" s="200">
        <f>MAX(SUM(F32+Statics!$J$7),F35)</f>
        <v>0.01</v>
      </c>
      <c r="G36" s="200">
        <f>MAX(SUM(G32+Statics!$J$7),G35)</f>
        <v>0.01</v>
      </c>
      <c r="H36" s="200">
        <f>MAX(SUM(H32+Statics!$J$7),H35)</f>
        <v>0.01</v>
      </c>
      <c r="I36" s="200">
        <f>MAX(SUM(I32+Statics!$J$7),I35)</f>
        <v>0.01</v>
      </c>
      <c r="J36" s="204"/>
    </row>
    <row r="37" spans="2:10" x14ac:dyDescent="0.25">
      <c r="B37" s="19" t="s">
        <v>130</v>
      </c>
      <c r="C37" s="55"/>
      <c r="D37" s="201">
        <f>IF(D31&lt;=0,0,(D31*(MAX(D32,D35))/((1-(1/(1+MAX(D32,D35)/$C$52)^(((D33*12)+D34)/$C$51)))*12)))</f>
        <v>0</v>
      </c>
      <c r="E37" s="201">
        <f t="shared" ref="E37:I37" si="12">IF(E31&lt;=0,0,(E31*(MAX(E32,E35))/((1-(1/(1+MAX(E32,E35)/$C$52)^(((E33*12)+E34)/$C$51)))*12)))</f>
        <v>0</v>
      </c>
      <c r="F37" s="201">
        <f t="shared" si="12"/>
        <v>0</v>
      </c>
      <c r="G37" s="201">
        <f t="shared" si="12"/>
        <v>0</v>
      </c>
      <c r="H37" s="201">
        <f t="shared" si="12"/>
        <v>0</v>
      </c>
      <c r="I37" s="201">
        <f t="shared" si="12"/>
        <v>0</v>
      </c>
      <c r="J37" s="207">
        <f t="shared" ref="J37:J38" si="13">SUM(D37:I37)</f>
        <v>0</v>
      </c>
    </row>
    <row r="38" spans="2:10" x14ac:dyDescent="0.25">
      <c r="B38" s="19" t="s">
        <v>131</v>
      </c>
      <c r="C38" s="55"/>
      <c r="D38" s="202">
        <f>IF(D31&lt;=0,0,(D31*D36)/((1-(1/(1+D36/$C$52)^(((D33*12)+D34)/$C$51)))*12))</f>
        <v>0</v>
      </c>
      <c r="E38" s="202">
        <f t="shared" ref="E38:I38" si="14">IF(E31&lt;=0,0,(E31*E36)/((1-(1/(1+E36/$C$52)^(((E33*12)+E34)/$C$51)))*12))</f>
        <v>0</v>
      </c>
      <c r="F38" s="202">
        <f t="shared" si="14"/>
        <v>0</v>
      </c>
      <c r="G38" s="202">
        <f t="shared" si="14"/>
        <v>0</v>
      </c>
      <c r="H38" s="202">
        <f t="shared" si="14"/>
        <v>0</v>
      </c>
      <c r="I38" s="202">
        <f t="shared" si="14"/>
        <v>0</v>
      </c>
      <c r="J38" s="208">
        <f t="shared" si="13"/>
        <v>0</v>
      </c>
    </row>
    <row r="39" spans="2:10" x14ac:dyDescent="0.25">
      <c r="B39" s="43" t="s">
        <v>144</v>
      </c>
      <c r="C39" s="20"/>
      <c r="D39" s="108"/>
      <c r="E39" s="20"/>
      <c r="F39" s="20"/>
      <c r="G39" s="20"/>
      <c r="H39" s="20"/>
      <c r="I39" s="20"/>
      <c r="J39" s="52"/>
    </row>
    <row r="40" spans="2:10" x14ac:dyDescent="0.25">
      <c r="B40" s="19" t="s">
        <v>45</v>
      </c>
      <c r="C40" s="47"/>
      <c r="D40" s="199">
        <f>C40</f>
        <v>0</v>
      </c>
      <c r="E40" s="42"/>
      <c r="F40" s="42"/>
      <c r="G40" s="42"/>
      <c r="H40" s="42"/>
      <c r="I40" s="42"/>
      <c r="J40" s="203">
        <f>SUM(D40:I40)</f>
        <v>0</v>
      </c>
    </row>
    <row r="41" spans="2:10" x14ac:dyDescent="0.25">
      <c r="B41" s="19" t="s">
        <v>145</v>
      </c>
      <c r="C41" s="49"/>
      <c r="D41" s="56">
        <f>C41</f>
        <v>0</v>
      </c>
      <c r="E41" s="45"/>
      <c r="F41" s="45"/>
      <c r="G41" s="45"/>
      <c r="H41" s="45"/>
      <c r="I41" s="45"/>
      <c r="J41" s="204"/>
    </row>
    <row r="42" spans="2:10" x14ac:dyDescent="0.25">
      <c r="B42" s="19" t="s">
        <v>142</v>
      </c>
      <c r="C42" s="49"/>
      <c r="D42" s="200">
        <f>C42</f>
        <v>0</v>
      </c>
      <c r="E42" s="46"/>
      <c r="F42" s="46"/>
      <c r="G42" s="46"/>
      <c r="H42" s="46"/>
      <c r="I42" s="46"/>
      <c r="J42" s="206"/>
    </row>
    <row r="43" spans="2:10" x14ac:dyDescent="0.25">
      <c r="B43" s="19" t="s">
        <v>129</v>
      </c>
      <c r="D43" s="56">
        <f>MAX(SUM(D41+Statics!$J$7),D42)</f>
        <v>0.01</v>
      </c>
      <c r="E43" s="200">
        <f>MAX(SUM(E41+Statics!$J$7),E42)</f>
        <v>0.01</v>
      </c>
      <c r="F43" s="200">
        <f>MAX(SUM(F41+Statics!$J$7),F42)</f>
        <v>0.01</v>
      </c>
      <c r="G43" s="200">
        <f>MAX(SUM(G41+Statics!$J$7),G42)</f>
        <v>0.01</v>
      </c>
      <c r="H43" s="200">
        <f>MAX(SUM(H41+Statics!$J$7),H42)</f>
        <v>0.01</v>
      </c>
      <c r="I43" s="200">
        <f>MAX(SUM(I41+Statics!$J$7),I42)</f>
        <v>0.01</v>
      </c>
      <c r="J43" s="204"/>
    </row>
    <row r="44" spans="2:10" x14ac:dyDescent="0.25">
      <c r="B44" s="19" t="s">
        <v>132</v>
      </c>
      <c r="C44" s="55"/>
      <c r="D44" s="201">
        <f>(D40*MAX(D41,D42))/12</f>
        <v>0</v>
      </c>
      <c r="E44" s="201">
        <f t="shared" ref="E44:I44" si="15">(E40*MAX(E41,E42))/12</f>
        <v>0</v>
      </c>
      <c r="F44" s="201">
        <f t="shared" si="15"/>
        <v>0</v>
      </c>
      <c r="G44" s="201">
        <f t="shared" si="15"/>
        <v>0</v>
      </c>
      <c r="H44" s="201">
        <f t="shared" si="15"/>
        <v>0</v>
      </c>
      <c r="I44" s="201">
        <f t="shared" si="15"/>
        <v>0</v>
      </c>
      <c r="J44" s="207">
        <f t="shared" ref="J44:J45" si="16">SUM(D44:I44)</f>
        <v>0</v>
      </c>
    </row>
    <row r="45" spans="2:10" x14ac:dyDescent="0.25">
      <c r="B45" s="19" t="s">
        <v>133</v>
      </c>
      <c r="C45" s="55"/>
      <c r="D45" s="202">
        <f>D40*D43/12</f>
        <v>0</v>
      </c>
      <c r="E45" s="202">
        <f t="shared" ref="E45:I45" si="17">E40*E43/12</f>
        <v>0</v>
      </c>
      <c r="F45" s="202">
        <f t="shared" si="17"/>
        <v>0</v>
      </c>
      <c r="G45" s="202">
        <f t="shared" si="17"/>
        <v>0</v>
      </c>
      <c r="H45" s="202">
        <f t="shared" si="17"/>
        <v>0</v>
      </c>
      <c r="I45" s="202">
        <f t="shared" si="17"/>
        <v>0</v>
      </c>
      <c r="J45" s="208">
        <f t="shared" si="16"/>
        <v>0</v>
      </c>
    </row>
    <row r="46" spans="2:10" x14ac:dyDescent="0.25">
      <c r="B46" s="43" t="s">
        <v>127</v>
      </c>
      <c r="C46" s="21"/>
      <c r="D46" s="109">
        <f>(D9+D15+D23+D29+D38+D45)</f>
        <v>0</v>
      </c>
      <c r="E46" s="48">
        <f t="shared" ref="E46:I46" si="18">(E9+E15+E23+E29+E38+E45)</f>
        <v>0</v>
      </c>
      <c r="F46" s="48">
        <f t="shared" si="18"/>
        <v>0</v>
      </c>
      <c r="G46" s="48">
        <f t="shared" si="18"/>
        <v>0</v>
      </c>
      <c r="H46" s="48">
        <f t="shared" si="18"/>
        <v>0</v>
      </c>
      <c r="I46" s="48">
        <f t="shared" si="18"/>
        <v>0</v>
      </c>
      <c r="J46" s="53">
        <f>SUM(D46:I46)</f>
        <v>0</v>
      </c>
    </row>
    <row r="47" spans="2:10" x14ac:dyDescent="0.25">
      <c r="B47" s="145" t="s">
        <v>153</v>
      </c>
      <c r="C47" s="144"/>
      <c r="D47" s="146">
        <f>(D8+D14+D22+D28+D37+D44)</f>
        <v>0</v>
      </c>
      <c r="E47" s="146">
        <f t="shared" ref="E47:I47" si="19">(E8+E14+E22+E28+E37+E44)</f>
        <v>0</v>
      </c>
      <c r="F47" s="146">
        <f t="shared" si="19"/>
        <v>0</v>
      </c>
      <c r="G47" s="146">
        <f t="shared" si="19"/>
        <v>0</v>
      </c>
      <c r="H47" s="146">
        <f t="shared" si="19"/>
        <v>0</v>
      </c>
      <c r="I47" s="146">
        <f t="shared" si="19"/>
        <v>0</v>
      </c>
      <c r="J47" s="147">
        <f>SUM(D47:I47)</f>
        <v>0</v>
      </c>
    </row>
    <row r="49" spans="2:3" ht="15.75" thickBot="1" x14ac:dyDescent="0.3"/>
    <row r="50" spans="2:3" ht="15.75" thickBot="1" x14ac:dyDescent="0.3">
      <c r="B50" s="35" t="s">
        <v>128</v>
      </c>
      <c r="C50" s="36"/>
    </row>
    <row r="51" spans="2:3" x14ac:dyDescent="0.25">
      <c r="B51" s="37" t="s">
        <v>49</v>
      </c>
      <c r="C51" s="38">
        <v>1</v>
      </c>
    </row>
    <row r="52" spans="2:3" ht="15.75" thickBot="1" x14ac:dyDescent="0.3">
      <c r="B52" s="39" t="s">
        <v>50</v>
      </c>
      <c r="C52" s="40">
        <v>12</v>
      </c>
    </row>
  </sheetData>
  <sheetProtection sheet="1" objects="1" scenarios="1"/>
  <mergeCells count="3">
    <mergeCell ref="M16:V16"/>
    <mergeCell ref="M17:V17"/>
    <mergeCell ref="M18:V18"/>
  </mergeCells>
  <phoneticPr fontId="0" type="noConversion"/>
  <pageMargins left="0.7" right="0.7" top="0.75" bottom="0.75" header="0.3" footer="0.3"/>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40"/>
  <sheetViews>
    <sheetView zoomScaleNormal="100" workbookViewId="0">
      <selection activeCell="D115" sqref="D115"/>
    </sheetView>
  </sheetViews>
  <sheetFormatPr defaultRowHeight="15" x14ac:dyDescent="0.25"/>
  <cols>
    <col min="1" max="1" width="3.7109375" style="59" customWidth="1"/>
    <col min="2" max="2" width="13.5703125" bestFit="1" customWidth="1"/>
    <col min="4" max="11" width="15.42578125" customWidth="1"/>
    <col min="14" max="14" width="24.140625" customWidth="1"/>
    <col min="15" max="15" width="54.140625" customWidth="1"/>
  </cols>
  <sheetData>
    <row r="1" spans="1:15" ht="15.75" thickBot="1" x14ac:dyDescent="0.3"/>
    <row r="2" spans="1:15" ht="35.25" customHeight="1" thickBot="1" x14ac:dyDescent="0.3">
      <c r="A2" s="59">
        <v>1</v>
      </c>
      <c r="B2" s="4" t="s">
        <v>61</v>
      </c>
      <c r="C2" s="5"/>
      <c r="D2" s="6" t="s">
        <v>62</v>
      </c>
      <c r="E2" s="6" t="s">
        <v>63</v>
      </c>
      <c r="F2" s="6" t="s">
        <v>64</v>
      </c>
      <c r="G2" s="6" t="s">
        <v>65</v>
      </c>
      <c r="H2" s="6" t="s">
        <v>66</v>
      </c>
      <c r="I2" s="6" t="s">
        <v>67</v>
      </c>
      <c r="J2" s="6" t="s">
        <v>68</v>
      </c>
      <c r="K2" s="7" t="s">
        <v>69</v>
      </c>
      <c r="N2" s="24" t="s">
        <v>89</v>
      </c>
      <c r="O2" s="25" t="str">
        <f>IF('Affordability Checker'!D8=1,"Single",IF('Affordability Checker'!D8=2,"Couple","Three Adults"))</f>
        <v>Single</v>
      </c>
    </row>
    <row r="3" spans="1:15" ht="35.25" customHeight="1" thickBot="1" x14ac:dyDescent="0.3">
      <c r="A3" s="59">
        <f>A2+1</f>
        <v>2</v>
      </c>
      <c r="B3" s="8" t="s">
        <v>19</v>
      </c>
      <c r="K3" s="9"/>
      <c r="N3" s="26" t="s">
        <v>88</v>
      </c>
      <c r="O3" s="27" t="str">
        <f>IF(O2="Single",IF('Affordability Checker'!D9=0,D2,IF('Affordability Checker'!D9=1,H2,I2)),IF(O2="Couple",IF('Affordability Checker'!D9=0,E2,IF('Affordability Checker'!D9=1,F2,G2)),IF('Affordability Checker'!D9=0,J2,K2)))</f>
        <v>Single Person</v>
      </c>
    </row>
    <row r="4" spans="1:15" x14ac:dyDescent="0.25">
      <c r="A4" s="59">
        <f t="shared" ref="A4:A40" si="0">A3+1</f>
        <v>3</v>
      </c>
      <c r="B4" s="10" t="s">
        <v>70</v>
      </c>
      <c r="D4">
        <v>180</v>
      </c>
      <c r="E4">
        <v>360</v>
      </c>
      <c r="F4">
        <v>420</v>
      </c>
      <c r="G4">
        <v>480</v>
      </c>
      <c r="H4">
        <v>225</v>
      </c>
      <c r="I4">
        <v>270</v>
      </c>
      <c r="J4">
        <v>450</v>
      </c>
      <c r="K4" s="9">
        <v>600</v>
      </c>
    </row>
    <row r="5" spans="1:15" ht="5.0999999999999996" customHeight="1" x14ac:dyDescent="0.25">
      <c r="A5" s="59">
        <f t="shared" si="0"/>
        <v>4</v>
      </c>
      <c r="B5" s="10"/>
      <c r="K5" s="9"/>
    </row>
    <row r="6" spans="1:15" ht="30" x14ac:dyDescent="0.25">
      <c r="A6" s="59">
        <f t="shared" si="0"/>
        <v>5</v>
      </c>
      <c r="B6" s="11" t="s">
        <v>71</v>
      </c>
      <c r="D6">
        <v>220</v>
      </c>
      <c r="E6">
        <v>280</v>
      </c>
      <c r="F6">
        <v>300</v>
      </c>
      <c r="G6">
        <v>300</v>
      </c>
      <c r="H6">
        <v>260</v>
      </c>
      <c r="I6">
        <v>280</v>
      </c>
      <c r="J6">
        <v>300</v>
      </c>
      <c r="K6" s="9">
        <v>360</v>
      </c>
    </row>
    <row r="7" spans="1:15" ht="5.0999999999999996" customHeight="1" x14ac:dyDescent="0.25">
      <c r="A7" s="59">
        <f t="shared" si="0"/>
        <v>6</v>
      </c>
      <c r="B7" s="11"/>
      <c r="K7" s="9"/>
    </row>
    <row r="8" spans="1:15" x14ac:dyDescent="0.25">
      <c r="A8" s="59">
        <f t="shared" si="0"/>
        <v>7</v>
      </c>
      <c r="B8" s="10" t="s">
        <v>72</v>
      </c>
      <c r="D8">
        <v>120</v>
      </c>
      <c r="E8">
        <v>150</v>
      </c>
      <c r="F8">
        <v>150</v>
      </c>
      <c r="G8">
        <v>160</v>
      </c>
      <c r="H8">
        <v>130</v>
      </c>
      <c r="I8">
        <v>130</v>
      </c>
      <c r="J8">
        <v>150</v>
      </c>
      <c r="K8" s="9">
        <v>150</v>
      </c>
    </row>
    <row r="9" spans="1:15" ht="5.0999999999999996" customHeight="1" x14ac:dyDescent="0.25">
      <c r="A9" s="59">
        <f t="shared" si="0"/>
        <v>8</v>
      </c>
      <c r="B9" s="10"/>
      <c r="K9" s="9"/>
    </row>
    <row r="10" spans="1:15" x14ac:dyDescent="0.25">
      <c r="A10" s="59">
        <f t="shared" si="0"/>
        <v>9</v>
      </c>
      <c r="B10" s="10" t="s">
        <v>73</v>
      </c>
      <c r="D10">
        <v>30</v>
      </c>
      <c r="E10">
        <v>35</v>
      </c>
      <c r="F10">
        <v>40</v>
      </c>
      <c r="G10">
        <v>45</v>
      </c>
      <c r="H10">
        <v>40</v>
      </c>
      <c r="I10">
        <v>40</v>
      </c>
      <c r="J10">
        <v>40</v>
      </c>
      <c r="K10" s="9">
        <v>50</v>
      </c>
    </row>
    <row r="11" spans="1:15" ht="5.0999999999999996" customHeight="1" x14ac:dyDescent="0.25">
      <c r="A11" s="59">
        <f t="shared" si="0"/>
        <v>10</v>
      </c>
      <c r="B11" s="10"/>
      <c r="K11" s="9"/>
    </row>
    <row r="12" spans="1:15" x14ac:dyDescent="0.25">
      <c r="A12" s="59">
        <f t="shared" si="0"/>
        <v>11</v>
      </c>
      <c r="B12" s="10" t="s">
        <v>74</v>
      </c>
      <c r="D12">
        <v>30</v>
      </c>
      <c r="E12">
        <v>50</v>
      </c>
      <c r="F12">
        <v>50</v>
      </c>
      <c r="G12">
        <v>50</v>
      </c>
      <c r="H12">
        <v>30</v>
      </c>
      <c r="I12">
        <v>30</v>
      </c>
      <c r="J12">
        <v>85</v>
      </c>
      <c r="K12" s="9">
        <v>85</v>
      </c>
    </row>
    <row r="13" spans="1:15" ht="5.0999999999999996" customHeight="1" x14ac:dyDescent="0.25">
      <c r="A13" s="59">
        <f t="shared" si="0"/>
        <v>12</v>
      </c>
      <c r="B13" s="10"/>
      <c r="K13" s="9"/>
    </row>
    <row r="14" spans="1:15" x14ac:dyDescent="0.25">
      <c r="A14" s="59">
        <f t="shared" si="0"/>
        <v>13</v>
      </c>
      <c r="B14" s="10" t="s">
        <v>75</v>
      </c>
      <c r="D14">
        <v>30</v>
      </c>
      <c r="E14">
        <v>30</v>
      </c>
      <c r="F14">
        <v>30</v>
      </c>
      <c r="G14">
        <v>30</v>
      </c>
      <c r="H14">
        <v>30</v>
      </c>
      <c r="I14">
        <v>30</v>
      </c>
      <c r="J14">
        <v>30</v>
      </c>
      <c r="K14" s="9">
        <v>30</v>
      </c>
    </row>
    <row r="15" spans="1:15" ht="5.0999999999999996" customHeight="1" x14ac:dyDescent="0.25">
      <c r="A15" s="59">
        <f t="shared" si="0"/>
        <v>14</v>
      </c>
      <c r="B15" s="10"/>
      <c r="K15" s="9"/>
    </row>
    <row r="16" spans="1:15" x14ac:dyDescent="0.25">
      <c r="A16" s="59">
        <f t="shared" si="0"/>
        <v>15</v>
      </c>
      <c r="B16" s="10" t="s">
        <v>76</v>
      </c>
      <c r="D16">
        <v>0</v>
      </c>
      <c r="E16">
        <v>0</v>
      </c>
      <c r="F16">
        <v>0</v>
      </c>
      <c r="G16">
        <v>0</v>
      </c>
      <c r="H16">
        <v>0</v>
      </c>
      <c r="I16">
        <v>0</v>
      </c>
      <c r="J16">
        <v>0</v>
      </c>
      <c r="K16" s="9">
        <v>0</v>
      </c>
    </row>
    <row r="17" spans="1:11" ht="5.0999999999999996" customHeight="1" x14ac:dyDescent="0.25">
      <c r="A17" s="59">
        <f t="shared" si="0"/>
        <v>16</v>
      </c>
      <c r="B17" s="10"/>
      <c r="K17" s="9"/>
    </row>
    <row r="18" spans="1:11" ht="30" x14ac:dyDescent="0.25">
      <c r="A18" s="59">
        <f t="shared" si="0"/>
        <v>17</v>
      </c>
      <c r="B18" s="11" t="s">
        <v>77</v>
      </c>
      <c r="D18">
        <v>180</v>
      </c>
      <c r="E18">
        <v>300</v>
      </c>
      <c r="F18">
        <v>300</v>
      </c>
      <c r="G18">
        <v>300</v>
      </c>
      <c r="H18">
        <v>180</v>
      </c>
      <c r="I18">
        <v>180</v>
      </c>
      <c r="J18">
        <v>390</v>
      </c>
      <c r="K18" s="9">
        <v>390</v>
      </c>
    </row>
    <row r="19" spans="1:11" ht="5.0999999999999996" customHeight="1" thickBot="1" x14ac:dyDescent="0.3">
      <c r="A19" s="59">
        <f t="shared" si="0"/>
        <v>18</v>
      </c>
      <c r="B19" s="10"/>
      <c r="K19" s="9"/>
    </row>
    <row r="20" spans="1:11" ht="15.75" thickBot="1" x14ac:dyDescent="0.3">
      <c r="A20" s="59">
        <f t="shared" si="0"/>
        <v>19</v>
      </c>
      <c r="B20" s="18" t="s">
        <v>78</v>
      </c>
      <c r="C20" s="16"/>
      <c r="D20" s="16">
        <v>790</v>
      </c>
      <c r="E20" s="16">
        <v>1205</v>
      </c>
      <c r="F20" s="16">
        <v>1290</v>
      </c>
      <c r="G20" s="16">
        <v>1365</v>
      </c>
      <c r="H20" s="16">
        <v>895</v>
      </c>
      <c r="I20" s="16">
        <v>960</v>
      </c>
      <c r="J20" s="16">
        <v>1445</v>
      </c>
      <c r="K20" s="17">
        <v>1665</v>
      </c>
    </row>
    <row r="21" spans="1:11" hidden="1" x14ac:dyDescent="0.25">
      <c r="A21" s="59">
        <f t="shared" si="0"/>
        <v>20</v>
      </c>
      <c r="B21" s="10"/>
      <c r="K21" s="9"/>
    </row>
    <row r="22" spans="1:11" ht="30" x14ac:dyDescent="0.25">
      <c r="A22" s="59">
        <f t="shared" si="0"/>
        <v>21</v>
      </c>
      <c r="B22" s="8" t="s">
        <v>26</v>
      </c>
      <c r="C22" s="12"/>
      <c r="D22" s="12"/>
      <c r="E22" s="12"/>
      <c r="F22" s="12"/>
      <c r="G22" s="12"/>
      <c r="H22" s="12"/>
      <c r="I22" s="12"/>
      <c r="J22" s="12"/>
      <c r="K22" s="13"/>
    </row>
    <row r="23" spans="1:11" ht="5.0999999999999996" customHeight="1" x14ac:dyDescent="0.25">
      <c r="A23" s="59">
        <f t="shared" si="0"/>
        <v>22</v>
      </c>
      <c r="B23" s="10"/>
      <c r="K23" s="9"/>
    </row>
    <row r="24" spans="1:11" x14ac:dyDescent="0.25">
      <c r="A24" s="59">
        <f t="shared" si="0"/>
        <v>23</v>
      </c>
      <c r="B24" s="10" t="s">
        <v>79</v>
      </c>
      <c r="D24">
        <v>13</v>
      </c>
      <c r="E24">
        <v>13</v>
      </c>
      <c r="F24">
        <v>13</v>
      </c>
      <c r="G24">
        <v>13</v>
      </c>
      <c r="H24">
        <v>13</v>
      </c>
      <c r="I24">
        <v>13</v>
      </c>
      <c r="J24">
        <v>13</v>
      </c>
      <c r="K24" s="9">
        <v>13</v>
      </c>
    </row>
    <row r="25" spans="1:11" ht="5.0999999999999996" customHeight="1" x14ac:dyDescent="0.25">
      <c r="A25" s="59">
        <f t="shared" si="0"/>
        <v>24</v>
      </c>
      <c r="B25" s="10"/>
      <c r="K25" s="9"/>
    </row>
    <row r="26" spans="1:11" x14ac:dyDescent="0.25">
      <c r="A26" s="59">
        <f t="shared" si="0"/>
        <v>25</v>
      </c>
      <c r="B26" s="10" t="s">
        <v>80</v>
      </c>
      <c r="K26" s="9"/>
    </row>
    <row r="27" spans="1:11" ht="5.0999999999999996" customHeight="1" x14ac:dyDescent="0.25">
      <c r="A27" s="59">
        <f t="shared" si="0"/>
        <v>26</v>
      </c>
      <c r="B27" s="10"/>
      <c r="K27" s="9"/>
    </row>
    <row r="28" spans="1:11" x14ac:dyDescent="0.25">
      <c r="A28" s="59">
        <f t="shared" si="0"/>
        <v>27</v>
      </c>
      <c r="B28" s="10" t="s">
        <v>81</v>
      </c>
      <c r="D28">
        <v>60</v>
      </c>
      <c r="E28">
        <v>120</v>
      </c>
      <c r="F28">
        <v>120</v>
      </c>
      <c r="G28">
        <v>120</v>
      </c>
      <c r="H28">
        <v>60</v>
      </c>
      <c r="I28">
        <v>60</v>
      </c>
      <c r="J28">
        <v>180</v>
      </c>
      <c r="K28" s="9">
        <v>240</v>
      </c>
    </row>
    <row r="29" spans="1:11" ht="5.0999999999999996" customHeight="1" x14ac:dyDescent="0.25">
      <c r="A29" s="59">
        <f t="shared" si="0"/>
        <v>28</v>
      </c>
      <c r="B29" s="10"/>
      <c r="K29" s="9"/>
    </row>
    <row r="30" spans="1:11" x14ac:dyDescent="0.25">
      <c r="A30" s="59">
        <f t="shared" si="0"/>
        <v>29</v>
      </c>
      <c r="B30" s="10" t="s">
        <v>82</v>
      </c>
      <c r="D30">
        <v>50</v>
      </c>
      <c r="E30">
        <v>100</v>
      </c>
      <c r="F30">
        <v>125</v>
      </c>
      <c r="G30">
        <v>160</v>
      </c>
      <c r="H30">
        <v>70</v>
      </c>
      <c r="I30">
        <v>105</v>
      </c>
      <c r="J30">
        <v>155</v>
      </c>
      <c r="K30" s="9">
        <v>210</v>
      </c>
    </row>
    <row r="31" spans="1:11" ht="5.0999999999999996" customHeight="1" x14ac:dyDescent="0.25">
      <c r="A31" s="59">
        <f t="shared" si="0"/>
        <v>30</v>
      </c>
      <c r="B31" s="10"/>
      <c r="K31" s="9"/>
    </row>
    <row r="32" spans="1:11" ht="30" x14ac:dyDescent="0.25">
      <c r="A32" s="59">
        <f t="shared" si="0"/>
        <v>31</v>
      </c>
      <c r="B32" s="11" t="s">
        <v>83</v>
      </c>
      <c r="D32">
        <v>50</v>
      </c>
      <c r="E32">
        <v>50</v>
      </c>
      <c r="F32">
        <v>50</v>
      </c>
      <c r="G32">
        <v>50</v>
      </c>
      <c r="H32">
        <v>50</v>
      </c>
      <c r="I32">
        <v>50</v>
      </c>
      <c r="J32">
        <v>50</v>
      </c>
      <c r="K32" s="9">
        <v>60</v>
      </c>
    </row>
    <row r="33" spans="1:11" ht="5.0999999999999996" customHeight="1" x14ac:dyDescent="0.25">
      <c r="A33" s="59">
        <f t="shared" si="0"/>
        <v>32</v>
      </c>
      <c r="B33" s="10"/>
      <c r="K33" s="9"/>
    </row>
    <row r="34" spans="1:11" ht="30" x14ac:dyDescent="0.25">
      <c r="A34" s="59">
        <f t="shared" si="0"/>
        <v>33</v>
      </c>
      <c r="B34" s="11" t="s">
        <v>84</v>
      </c>
      <c r="D34">
        <v>100</v>
      </c>
      <c r="E34">
        <v>200</v>
      </c>
      <c r="F34">
        <v>200</v>
      </c>
      <c r="G34">
        <v>225</v>
      </c>
      <c r="H34">
        <v>120</v>
      </c>
      <c r="I34">
        <v>150</v>
      </c>
      <c r="J34">
        <v>250</v>
      </c>
      <c r="K34" s="9">
        <v>300</v>
      </c>
    </row>
    <row r="35" spans="1:11" ht="5.0999999999999996" customHeight="1" thickBot="1" x14ac:dyDescent="0.3">
      <c r="A35" s="59">
        <f t="shared" si="0"/>
        <v>34</v>
      </c>
      <c r="B35" s="10"/>
      <c r="K35" s="9"/>
    </row>
    <row r="36" spans="1:11" ht="15.75" thickBot="1" x14ac:dyDescent="0.3">
      <c r="A36" s="59">
        <f t="shared" si="0"/>
        <v>35</v>
      </c>
      <c r="B36" s="18" t="s">
        <v>85</v>
      </c>
      <c r="C36" s="16"/>
      <c r="D36" s="16">
        <v>273</v>
      </c>
      <c r="E36" s="16">
        <v>483</v>
      </c>
      <c r="F36" s="16">
        <v>508</v>
      </c>
      <c r="G36" s="16">
        <v>568</v>
      </c>
      <c r="H36" s="16">
        <v>313</v>
      </c>
      <c r="I36" s="16">
        <v>378</v>
      </c>
      <c r="J36" s="16">
        <v>648</v>
      </c>
      <c r="K36" s="17">
        <v>823</v>
      </c>
    </row>
    <row r="37" spans="1:11" ht="5.0999999999999996" customHeight="1" thickBot="1" x14ac:dyDescent="0.3">
      <c r="A37" s="59">
        <f t="shared" si="0"/>
        <v>36</v>
      </c>
      <c r="B37" s="10"/>
      <c r="K37" s="9"/>
    </row>
    <row r="38" spans="1:11" ht="15.75" thickBot="1" x14ac:dyDescent="0.3">
      <c r="A38" s="59">
        <f t="shared" si="0"/>
        <v>37</v>
      </c>
      <c r="B38" s="15" t="s">
        <v>86</v>
      </c>
      <c r="C38" s="16"/>
      <c r="D38" s="16">
        <v>1063</v>
      </c>
      <c r="E38" s="16">
        <v>1688</v>
      </c>
      <c r="F38" s="16">
        <v>1798</v>
      </c>
      <c r="G38" s="16">
        <v>1933</v>
      </c>
      <c r="H38" s="16">
        <v>1208</v>
      </c>
      <c r="I38" s="16">
        <v>1338</v>
      </c>
      <c r="J38" s="16">
        <v>2093</v>
      </c>
      <c r="K38" s="17">
        <v>2488</v>
      </c>
    </row>
    <row r="39" spans="1:11" ht="5.0999999999999996" customHeight="1" thickBot="1" x14ac:dyDescent="0.3">
      <c r="A39" s="59">
        <f t="shared" si="0"/>
        <v>38</v>
      </c>
    </row>
    <row r="40" spans="1:11" ht="15.75" thickBot="1" x14ac:dyDescent="0.3">
      <c r="A40" s="59">
        <f t="shared" si="0"/>
        <v>39</v>
      </c>
      <c r="B40" s="14" t="s">
        <v>243</v>
      </c>
    </row>
  </sheetData>
  <sheetProtection sheet="1" objects="1" scenarios="1"/>
  <phoneticPr fontId="0" type="noConversion"/>
  <pageMargins left="0.7" right="0.7" top="0.75" bottom="0.75" header="0.3" footer="0.3"/>
  <pageSetup paperSize="9" scale="82"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O35"/>
  <sheetViews>
    <sheetView topLeftCell="C18" zoomScaleNormal="100" workbookViewId="0">
      <selection activeCell="D115" sqref="D115"/>
    </sheetView>
  </sheetViews>
  <sheetFormatPr defaultRowHeight="15" x14ac:dyDescent="0.25"/>
  <cols>
    <col min="2" max="2" width="16.5703125" bestFit="1" customWidth="1"/>
    <col min="4" max="4" width="22" bestFit="1" customWidth="1"/>
    <col min="6" max="6" width="18.85546875" customWidth="1"/>
    <col min="8" max="8" width="22.7109375" customWidth="1"/>
    <col min="10" max="10" width="40.140625" customWidth="1"/>
    <col min="12" max="12" width="3.140625" customWidth="1"/>
    <col min="13" max="14" width="13.28515625" customWidth="1"/>
    <col min="15" max="15" width="72.85546875" customWidth="1"/>
  </cols>
  <sheetData>
    <row r="1" spans="2:15" ht="15.75" thickBot="1" x14ac:dyDescent="0.3"/>
    <row r="2" spans="2:15" ht="15.75" thickBot="1" x14ac:dyDescent="0.3">
      <c r="B2" t="s">
        <v>99</v>
      </c>
      <c r="D2" t="s">
        <v>96</v>
      </c>
      <c r="F2" t="s">
        <v>103</v>
      </c>
      <c r="H2" t="s">
        <v>150</v>
      </c>
      <c r="J2" t="s">
        <v>154</v>
      </c>
      <c r="M2" s="234" t="s">
        <v>173</v>
      </c>
      <c r="N2" s="235"/>
      <c r="O2" s="236"/>
    </row>
    <row r="3" spans="2:15" ht="15.75" thickBot="1" x14ac:dyDescent="0.3">
      <c r="B3">
        <v>1</v>
      </c>
      <c r="D3">
        <v>0</v>
      </c>
      <c r="F3" t="s">
        <v>44</v>
      </c>
      <c r="H3" t="s">
        <v>151</v>
      </c>
      <c r="J3" t="s">
        <v>155</v>
      </c>
      <c r="M3" s="32" t="s">
        <v>174</v>
      </c>
      <c r="N3" s="33" t="s">
        <v>181</v>
      </c>
      <c r="O3" s="34" t="s">
        <v>175</v>
      </c>
    </row>
    <row r="4" spans="2:15" x14ac:dyDescent="0.25">
      <c r="B4">
        <v>2</v>
      </c>
      <c r="D4">
        <v>1</v>
      </c>
      <c r="F4" t="s">
        <v>51</v>
      </c>
      <c r="H4" t="s">
        <v>152</v>
      </c>
      <c r="J4" t="s">
        <v>156</v>
      </c>
      <c r="M4" s="168" t="s">
        <v>176</v>
      </c>
      <c r="N4" s="170" t="s">
        <v>182</v>
      </c>
      <c r="O4" s="13" t="s">
        <v>180</v>
      </c>
    </row>
    <row r="5" spans="2:15" ht="15" customHeight="1" x14ac:dyDescent="0.25">
      <c r="B5">
        <v>3</v>
      </c>
      <c r="D5" s="3" t="s">
        <v>102</v>
      </c>
      <c r="F5" t="s">
        <v>93</v>
      </c>
      <c r="M5" s="169">
        <v>7</v>
      </c>
      <c r="N5" s="171">
        <v>42817</v>
      </c>
      <c r="O5" s="13" t="s">
        <v>177</v>
      </c>
    </row>
    <row r="6" spans="2:15" ht="15" customHeight="1" thickBot="1" x14ac:dyDescent="0.3">
      <c r="B6">
        <v>4</v>
      </c>
      <c r="M6" s="169">
        <v>8</v>
      </c>
      <c r="N6" s="171">
        <v>42899</v>
      </c>
      <c r="O6" s="13" t="s">
        <v>178</v>
      </c>
    </row>
    <row r="7" spans="2:15" ht="15" customHeight="1" thickBot="1" x14ac:dyDescent="0.3">
      <c r="H7" s="237" t="s">
        <v>196</v>
      </c>
      <c r="I7" s="238"/>
      <c r="J7" s="178">
        <f>J14</f>
        <v>0.01</v>
      </c>
      <c r="M7" s="169">
        <v>9</v>
      </c>
      <c r="N7" s="171">
        <v>42948</v>
      </c>
      <c r="O7" s="13" t="s">
        <v>179</v>
      </c>
    </row>
    <row r="8" spans="2:15" ht="15" customHeight="1" thickBot="1" x14ac:dyDescent="0.3">
      <c r="M8" s="169">
        <v>10</v>
      </c>
      <c r="N8" s="171">
        <v>43033</v>
      </c>
      <c r="O8" s="13" t="s">
        <v>183</v>
      </c>
    </row>
    <row r="9" spans="2:15" ht="30.75" thickBot="1" x14ac:dyDescent="0.3">
      <c r="H9" s="179" t="s">
        <v>251</v>
      </c>
      <c r="I9" s="180"/>
      <c r="J9" s="181"/>
      <c r="M9" s="169">
        <v>11</v>
      </c>
      <c r="N9" s="171">
        <v>43193</v>
      </c>
      <c r="O9" s="13" t="s">
        <v>185</v>
      </c>
    </row>
    <row r="10" spans="2:15" ht="28.9" customHeight="1" x14ac:dyDescent="0.25">
      <c r="H10" s="239" t="s">
        <v>249</v>
      </c>
      <c r="I10" s="240"/>
      <c r="J10" s="184">
        <v>5.2699999999999997E-2</v>
      </c>
      <c r="M10" s="169">
        <v>12</v>
      </c>
      <c r="N10" s="171">
        <v>43410</v>
      </c>
      <c r="O10" s="13" t="s">
        <v>186</v>
      </c>
    </row>
    <row r="11" spans="2:15" ht="31.15" customHeight="1" thickBot="1" x14ac:dyDescent="0.3">
      <c r="H11" s="241" t="s">
        <v>250</v>
      </c>
      <c r="I11" s="242"/>
      <c r="J11" s="184">
        <v>5.2299999999999999E-2</v>
      </c>
      <c r="M11" s="169">
        <v>13</v>
      </c>
      <c r="N11" s="171">
        <v>43747</v>
      </c>
      <c r="O11" s="13" t="s">
        <v>188</v>
      </c>
    </row>
    <row r="12" spans="2:15" ht="15.75" thickBot="1" x14ac:dyDescent="0.3">
      <c r="H12" s="32" t="s">
        <v>197</v>
      </c>
      <c r="I12" s="33"/>
      <c r="J12" s="182">
        <f>J10-J11</f>
        <v>3.9999999999999758E-4</v>
      </c>
      <c r="M12" s="169">
        <v>14</v>
      </c>
      <c r="N12" s="171">
        <v>43980</v>
      </c>
      <c r="O12" s="13" t="s">
        <v>189</v>
      </c>
    </row>
    <row r="13" spans="2:15" ht="105.75" thickBot="1" x14ac:dyDescent="0.3">
      <c r="H13" s="11" t="s">
        <v>198</v>
      </c>
      <c r="J13" s="184">
        <v>0</v>
      </c>
      <c r="M13" s="169">
        <v>15</v>
      </c>
      <c r="N13" s="171">
        <v>44285</v>
      </c>
      <c r="O13" s="13" t="s">
        <v>191</v>
      </c>
    </row>
    <row r="14" spans="2:15" ht="15.75" thickBot="1" x14ac:dyDescent="0.3">
      <c r="H14" s="179" t="s">
        <v>199</v>
      </c>
      <c r="I14" s="180"/>
      <c r="J14" s="183">
        <f>MAX(0.01,SUM(J12:J13))</f>
        <v>0.01</v>
      </c>
      <c r="M14" s="169">
        <v>16</v>
      </c>
      <c r="N14" s="171">
        <v>44351</v>
      </c>
      <c r="O14" s="13" t="s">
        <v>193</v>
      </c>
    </row>
    <row r="15" spans="2:15" ht="30.75" thickBot="1" x14ac:dyDescent="0.3">
      <c r="M15" s="169">
        <v>17</v>
      </c>
      <c r="N15" s="171">
        <v>44680</v>
      </c>
      <c r="O15" s="13" t="s">
        <v>194</v>
      </c>
    </row>
    <row r="16" spans="2:15" ht="15.75" thickBot="1" x14ac:dyDescent="0.3">
      <c r="H16" s="243" t="s">
        <v>252</v>
      </c>
      <c r="I16" s="244"/>
      <c r="J16" s="245"/>
      <c r="M16" s="169">
        <v>18</v>
      </c>
      <c r="N16" s="171">
        <v>44741</v>
      </c>
      <c r="O16" s="13" t="s">
        <v>195</v>
      </c>
    </row>
    <row r="17" spans="8:15" ht="30" x14ac:dyDescent="0.25">
      <c r="H17" s="11" t="s">
        <v>253</v>
      </c>
      <c r="J17" s="184">
        <v>3.8899999999999997E-2</v>
      </c>
      <c r="M17" s="169">
        <v>19</v>
      </c>
      <c r="N17" s="171">
        <v>44832</v>
      </c>
      <c r="O17" s="13" t="s">
        <v>200</v>
      </c>
    </row>
    <row r="18" spans="8:15" ht="60.75" thickBot="1" x14ac:dyDescent="0.3">
      <c r="H18" s="11" t="s">
        <v>254</v>
      </c>
      <c r="J18" s="184">
        <v>8.8900000000000007E-2</v>
      </c>
      <c r="M18" s="169">
        <v>20</v>
      </c>
      <c r="N18" s="171">
        <v>44925</v>
      </c>
      <c r="O18" s="13" t="s">
        <v>210</v>
      </c>
    </row>
    <row r="19" spans="8:15" ht="33" customHeight="1" thickBot="1" x14ac:dyDescent="0.3">
      <c r="H19" s="209" t="s">
        <v>255</v>
      </c>
      <c r="I19" s="180"/>
      <c r="J19" s="183">
        <f>ROUND((J17+J18)/2,4)</f>
        <v>6.3899999999999998E-2</v>
      </c>
      <c r="M19" s="169">
        <v>21</v>
      </c>
      <c r="N19" s="171">
        <v>44944</v>
      </c>
      <c r="O19" s="13" t="s">
        <v>216</v>
      </c>
    </row>
    <row r="20" spans="8:15" ht="45" x14ac:dyDescent="0.25">
      <c r="M20" s="169">
        <v>22</v>
      </c>
      <c r="N20" s="171">
        <v>45013</v>
      </c>
      <c r="O20" s="13" t="s">
        <v>229</v>
      </c>
    </row>
    <row r="21" spans="8:15" ht="45" x14ac:dyDescent="0.25">
      <c r="M21" s="169">
        <v>23</v>
      </c>
      <c r="N21" s="171">
        <v>45082</v>
      </c>
      <c r="O21" s="13" t="s">
        <v>239</v>
      </c>
    </row>
    <row r="22" spans="8:15" ht="60" x14ac:dyDescent="0.25">
      <c r="M22" s="169">
        <v>24</v>
      </c>
      <c r="N22" s="171">
        <v>45083</v>
      </c>
      <c r="O22" s="13" t="s">
        <v>241</v>
      </c>
    </row>
    <row r="23" spans="8:15" x14ac:dyDescent="0.25">
      <c r="M23" s="169">
        <v>25</v>
      </c>
      <c r="N23" s="171">
        <v>45133</v>
      </c>
      <c r="O23" s="13" t="s">
        <v>242</v>
      </c>
    </row>
    <row r="24" spans="8:15" ht="60" customHeight="1" x14ac:dyDescent="0.25">
      <c r="M24" s="169">
        <v>26</v>
      </c>
      <c r="N24" s="171">
        <v>45154</v>
      </c>
      <c r="O24" s="13" t="s">
        <v>247</v>
      </c>
    </row>
    <row r="25" spans="8:15" ht="60" x14ac:dyDescent="0.25">
      <c r="M25" s="169">
        <v>27</v>
      </c>
      <c r="N25" s="171"/>
      <c r="O25" s="13" t="s">
        <v>248</v>
      </c>
    </row>
    <row r="26" spans="8:15" ht="45" x14ac:dyDescent="0.25">
      <c r="M26" s="169">
        <v>28</v>
      </c>
      <c r="N26" s="171"/>
      <c r="O26" s="13" t="s">
        <v>257</v>
      </c>
    </row>
    <row r="27" spans="8:15" x14ac:dyDescent="0.25">
      <c r="N27" s="171"/>
    </row>
    <row r="28" spans="8:15" x14ac:dyDescent="0.25">
      <c r="N28" s="171"/>
    </row>
    <row r="29" spans="8:15" x14ac:dyDescent="0.25">
      <c r="N29" s="171"/>
    </row>
    <row r="30" spans="8:15" x14ac:dyDescent="0.25">
      <c r="N30" s="171"/>
    </row>
    <row r="31" spans="8:15" x14ac:dyDescent="0.25">
      <c r="N31" s="171"/>
    </row>
    <row r="32" spans="8:15" x14ac:dyDescent="0.25">
      <c r="N32" s="171"/>
    </row>
    <row r="33" spans="14:14" x14ac:dyDescent="0.25">
      <c r="N33" s="171"/>
    </row>
    <row r="34" spans="14:14" x14ac:dyDescent="0.25">
      <c r="N34" s="171"/>
    </row>
    <row r="35" spans="14:14" x14ac:dyDescent="0.25">
      <c r="N35" s="171"/>
    </row>
  </sheetData>
  <mergeCells count="5">
    <mergeCell ref="M2:O2"/>
    <mergeCell ref="H7:I7"/>
    <mergeCell ref="H10:I10"/>
    <mergeCell ref="H11:I11"/>
    <mergeCell ref="H16:J16"/>
  </mergeCell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15"/>
  <sheetViews>
    <sheetView zoomScaleNormal="100" workbookViewId="0">
      <selection activeCell="C31" sqref="C31"/>
    </sheetView>
  </sheetViews>
  <sheetFormatPr defaultRowHeight="15" x14ac:dyDescent="0.25"/>
  <cols>
    <col min="2" max="2" width="29.42578125" customWidth="1"/>
    <col min="3" max="3" width="15.7109375" customWidth="1"/>
    <col min="4" max="4" width="15.85546875" customWidth="1"/>
  </cols>
  <sheetData>
    <row r="1" spans="1:20" ht="15.75" thickBot="1" x14ac:dyDescent="0.3"/>
    <row r="2" spans="1:20" ht="15.75" thickBot="1" x14ac:dyDescent="0.3">
      <c r="B2" s="15" t="s">
        <v>121</v>
      </c>
      <c r="C2" s="29">
        <v>8.3900000000000002E-2</v>
      </c>
      <c r="E2" s="246" t="s">
        <v>126</v>
      </c>
      <c r="F2" s="246"/>
      <c r="G2" s="246"/>
      <c r="H2" s="246"/>
      <c r="I2" s="246"/>
      <c r="J2" s="246"/>
      <c r="K2" s="246"/>
      <c r="L2" s="246"/>
      <c r="M2" s="246"/>
      <c r="N2" s="246"/>
      <c r="O2" s="246"/>
      <c r="P2" s="246"/>
      <c r="Q2" s="246"/>
      <c r="R2" s="246"/>
      <c r="S2" s="246"/>
      <c r="T2" s="246"/>
    </row>
    <row r="3" spans="1:20" ht="15.75" thickBot="1" x14ac:dyDescent="0.3"/>
    <row r="4" spans="1:20" ht="15.75" thickBot="1" x14ac:dyDescent="0.3">
      <c r="B4" s="32" t="s">
        <v>119</v>
      </c>
      <c r="C4" s="33" t="s">
        <v>187</v>
      </c>
      <c r="D4" s="34" t="s">
        <v>123</v>
      </c>
      <c r="F4" s="195" t="s">
        <v>232</v>
      </c>
    </row>
    <row r="5" spans="1:20" x14ac:dyDescent="0.25">
      <c r="A5">
        <v>225</v>
      </c>
      <c r="B5" s="10" t="s">
        <v>120</v>
      </c>
      <c r="C5" s="31">
        <f t="shared" ref="C5:C14" si="0">$C$2-F5</f>
        <v>8.3900000000000002E-2</v>
      </c>
      <c r="D5" s="174">
        <v>0.9</v>
      </c>
      <c r="F5" s="196">
        <v>0</v>
      </c>
    </row>
    <row r="6" spans="1:20" x14ac:dyDescent="0.25">
      <c r="A6">
        <v>249</v>
      </c>
      <c r="B6" s="10" t="s">
        <v>184</v>
      </c>
      <c r="C6" s="31">
        <f t="shared" si="0"/>
        <v>8.3900000000000002E-2</v>
      </c>
      <c r="D6" s="174">
        <v>0.75</v>
      </c>
      <c r="F6" s="196">
        <v>0</v>
      </c>
    </row>
    <row r="7" spans="1:20" x14ac:dyDescent="0.25">
      <c r="A7">
        <v>297</v>
      </c>
      <c r="B7" s="10" t="s">
        <v>235</v>
      </c>
      <c r="C7" s="31">
        <f t="shared" si="0"/>
        <v>7.3900000000000007E-2</v>
      </c>
      <c r="D7" s="175">
        <v>0.75</v>
      </c>
      <c r="F7" s="197">
        <v>0.01</v>
      </c>
    </row>
    <row r="8" spans="1:20" x14ac:dyDescent="0.25">
      <c r="A8">
        <v>301</v>
      </c>
      <c r="B8" s="10" t="s">
        <v>237</v>
      </c>
      <c r="C8" s="31">
        <f t="shared" si="0"/>
        <v>7.0900000000000005E-2</v>
      </c>
      <c r="D8" s="174">
        <v>0.5</v>
      </c>
      <c r="F8" s="196">
        <v>1.2999999999999999E-2</v>
      </c>
    </row>
    <row r="9" spans="1:20" x14ac:dyDescent="0.25">
      <c r="A9">
        <v>293</v>
      </c>
      <c r="B9" s="10" t="s">
        <v>261</v>
      </c>
      <c r="C9" s="31">
        <f t="shared" si="0"/>
        <v>6.8900000000000003E-2</v>
      </c>
      <c r="D9" s="174">
        <v>0.9</v>
      </c>
      <c r="F9" s="196">
        <v>1.4999999999999999E-2</v>
      </c>
    </row>
    <row r="10" spans="1:20" x14ac:dyDescent="0.25">
      <c r="A10">
        <v>294</v>
      </c>
      <c r="B10" s="10" t="s">
        <v>233</v>
      </c>
      <c r="C10" s="31">
        <f t="shared" si="0"/>
        <v>6.54E-2</v>
      </c>
      <c r="D10" s="174">
        <v>0.9</v>
      </c>
      <c r="F10" s="196">
        <v>1.8499999999999999E-2</v>
      </c>
    </row>
    <row r="11" spans="1:20" x14ac:dyDescent="0.25">
      <c r="A11">
        <v>300</v>
      </c>
      <c r="B11" s="10" t="s">
        <v>236</v>
      </c>
      <c r="C11" s="31">
        <f t="shared" si="0"/>
        <v>6.1400000000000003E-2</v>
      </c>
      <c r="D11" s="174">
        <v>0.95</v>
      </c>
      <c r="F11" s="196">
        <v>2.2499999999999999E-2</v>
      </c>
    </row>
    <row r="12" spans="1:20" x14ac:dyDescent="0.25">
      <c r="A12" t="s">
        <v>258</v>
      </c>
      <c r="B12" s="10" t="s">
        <v>259</v>
      </c>
      <c r="C12" s="31">
        <f t="shared" si="0"/>
        <v>6.0900000000000003E-2</v>
      </c>
      <c r="D12" s="174">
        <v>0.75</v>
      </c>
      <c r="F12" s="196">
        <v>2.3E-2</v>
      </c>
    </row>
    <row r="13" spans="1:20" x14ac:dyDescent="0.25">
      <c r="A13" t="s">
        <v>238</v>
      </c>
      <c r="B13" s="10" t="s">
        <v>234</v>
      </c>
      <c r="C13" s="31">
        <f t="shared" si="0"/>
        <v>5.8900000000000001E-2</v>
      </c>
      <c r="D13" s="174">
        <v>0.75</v>
      </c>
      <c r="F13" s="196">
        <v>2.5000000000000001E-2</v>
      </c>
    </row>
    <row r="14" spans="1:20" x14ac:dyDescent="0.25">
      <c r="A14">
        <v>309</v>
      </c>
      <c r="B14" s="10" t="s">
        <v>256</v>
      </c>
      <c r="C14" s="31">
        <f t="shared" si="0"/>
        <v>5.6400000000000006E-2</v>
      </c>
      <c r="D14" s="174">
        <v>0.75</v>
      </c>
      <c r="F14" s="196">
        <v>2.75E-2</v>
      </c>
    </row>
    <row r="15" spans="1:20" ht="15.75" thickBot="1" x14ac:dyDescent="0.3">
      <c r="B15" s="28">
        <v>0</v>
      </c>
      <c r="C15" s="30">
        <f t="shared" ref="C15" si="1">$C$2-F15</f>
        <v>8.3900000000000002E-2</v>
      </c>
      <c r="D15" s="176">
        <v>0.9</v>
      </c>
      <c r="F15" s="198">
        <v>0</v>
      </c>
    </row>
  </sheetData>
  <sortState xmlns:xlrd2="http://schemas.microsoft.com/office/spreadsheetml/2017/richdata2" ref="A5:F14">
    <sortCondition descending="1" ref="C5:C14"/>
  </sortState>
  <mergeCells count="1">
    <mergeCell ref="E2:T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Affordability Checker</vt:lpstr>
      <vt:lpstr>AID</vt:lpstr>
      <vt:lpstr>LTI</vt:lpstr>
      <vt:lpstr>Repayment Calculator</vt:lpstr>
      <vt:lpstr>Affordability minimums</vt:lpstr>
      <vt:lpstr>Statics</vt:lpstr>
      <vt:lpstr>Mortgage products</vt:lpstr>
      <vt:lpstr>'Affordability Checker'!Print_Area</vt:lpstr>
      <vt:lpstr>'Affordability minimums'!Print_Area</vt:lpstr>
      <vt:lpstr>AID!Print_Area</vt:lpstr>
      <vt:lpstr>'Mortgage products'!Print_Area</vt:lpstr>
      <vt:lpstr>'Repayment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Tilley</dc:creator>
  <cp:lastModifiedBy>Richard Carson</cp:lastModifiedBy>
  <cp:lastPrinted>2017-03-11T11:42:06Z</cp:lastPrinted>
  <dcterms:created xsi:type="dcterms:W3CDTF">2013-10-25T15:02:06Z</dcterms:created>
  <dcterms:modified xsi:type="dcterms:W3CDTF">2024-04-04T11:06:40Z</dcterms:modified>
</cp:coreProperties>
</file>